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itfailid\kasutajad\merje.pihlak\Desktop\rphind\RK-le\New folder\23.09\"/>
    </mc:Choice>
  </mc:AlternateContent>
  <xr:revisionPtr revIDLastSave="0" documentId="13_ncr:1_{209BF338-CCBB-40AA-8AC2-1B88DBC023B4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Hinnastuse kalkulaator" sheetId="1" r:id="rId1"/>
    <sheet name="Hinnastuse koondtabel" sheetId="2" r:id="rId2"/>
    <sheet name="Seadistuse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2" l="1"/>
  <c r="E5" i="2"/>
  <c r="E6" i="2"/>
  <c r="E3" i="2"/>
  <c r="K15" i="1" l="1"/>
  <c r="F4" i="2" l="1"/>
  <c r="H4" i="2" s="1"/>
  <c r="F5" i="2"/>
  <c r="H5" i="2" s="1"/>
  <c r="F6" i="2"/>
  <c r="H6" i="2" s="1"/>
  <c r="F3" i="2"/>
  <c r="G3" i="2" s="1"/>
  <c r="I3" i="2" s="1"/>
  <c r="G5" i="2" l="1"/>
  <c r="I5" i="2" s="1"/>
  <c r="G4" i="2"/>
  <c r="I4" i="2" s="1"/>
  <c r="H3" i="2"/>
  <c r="G6" i="2"/>
  <c r="I6" i="2" s="1"/>
  <c r="H13" i="3" l="1"/>
  <c r="H12" i="3"/>
  <c r="H11" i="3"/>
  <c r="H10" i="3"/>
  <c r="H9" i="3"/>
  <c r="H8" i="3"/>
  <c r="H7" i="3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L56" i="1"/>
  <c r="L61" i="1" s="1"/>
  <c r="L66" i="1" s="1"/>
  <c r="M55" i="1"/>
  <c r="L55" i="1"/>
  <c r="I55" i="1"/>
  <c r="M54" i="1"/>
  <c r="L54" i="1"/>
  <c r="I54" i="1"/>
  <c r="F51" i="1"/>
  <c r="E51" i="1"/>
  <c r="D51" i="1"/>
  <c r="C51" i="1"/>
  <c r="K50" i="1"/>
  <c r="I50" i="1"/>
  <c r="J50" i="1" s="1"/>
  <c r="J49" i="1"/>
  <c r="L49" i="1" s="1"/>
  <c r="M49" i="1" s="1"/>
  <c r="I49" i="1"/>
  <c r="H49" i="1"/>
  <c r="J48" i="1"/>
  <c r="L48" i="1" s="1"/>
  <c r="M48" i="1" s="1"/>
  <c r="I48" i="1"/>
  <c r="H48" i="1"/>
  <c r="I47" i="1"/>
  <c r="H47" i="1"/>
  <c r="J47" i="1" s="1"/>
  <c r="L47" i="1" s="1"/>
  <c r="M47" i="1" s="1"/>
  <c r="K46" i="1"/>
  <c r="L46" i="1" s="1"/>
  <c r="M46" i="1" s="1"/>
  <c r="J46" i="1"/>
  <c r="I46" i="1"/>
  <c r="H46" i="1"/>
  <c r="K45" i="1"/>
  <c r="J45" i="1"/>
  <c r="H45" i="1"/>
  <c r="I45" i="1" s="1"/>
  <c r="H44" i="1"/>
  <c r="J44" i="1" s="1"/>
  <c r="L44" i="1" s="1"/>
  <c r="M44" i="1" s="1"/>
  <c r="J43" i="1"/>
  <c r="L43" i="1" s="1"/>
  <c r="M43" i="1" s="1"/>
  <c r="I43" i="1"/>
  <c r="H43" i="1"/>
  <c r="J42" i="1"/>
  <c r="I42" i="1"/>
  <c r="H42" i="1"/>
  <c r="F38" i="1"/>
  <c r="E38" i="1"/>
  <c r="D38" i="1"/>
  <c r="C38" i="1"/>
  <c r="K37" i="1"/>
  <c r="I37" i="1"/>
  <c r="J37" i="1" s="1"/>
  <c r="J36" i="1"/>
  <c r="L36" i="1" s="1"/>
  <c r="M36" i="1" s="1"/>
  <c r="H36" i="1"/>
  <c r="I36" i="1" s="1"/>
  <c r="J35" i="1"/>
  <c r="L35" i="1" s="1"/>
  <c r="M35" i="1" s="1"/>
  <c r="H35" i="1"/>
  <c r="I35" i="1" s="1"/>
  <c r="H34" i="1"/>
  <c r="J34" i="1" s="1"/>
  <c r="L34" i="1" s="1"/>
  <c r="M34" i="1" s="1"/>
  <c r="K33" i="1"/>
  <c r="J33" i="1"/>
  <c r="H33" i="1"/>
  <c r="I33" i="1" s="1"/>
  <c r="K32" i="1"/>
  <c r="H32" i="1"/>
  <c r="I32" i="1" s="1"/>
  <c r="H31" i="1"/>
  <c r="J31" i="1" s="1"/>
  <c r="L31" i="1" s="1"/>
  <c r="M31" i="1" s="1"/>
  <c r="J30" i="1"/>
  <c r="L30" i="1" s="1"/>
  <c r="H30" i="1"/>
  <c r="I30" i="1" s="1"/>
  <c r="F26" i="1"/>
  <c r="F27" i="1" s="1"/>
  <c r="E26" i="1"/>
  <c r="E27" i="1" s="1"/>
  <c r="D26" i="1"/>
  <c r="D27" i="1" s="1"/>
  <c r="C26" i="1"/>
  <c r="C27" i="1" s="1"/>
  <c r="I25" i="1"/>
  <c r="J25" i="1" s="1"/>
  <c r="L25" i="1" s="1"/>
  <c r="M25" i="1" s="1"/>
  <c r="H24" i="1"/>
  <c r="J24" i="1" s="1"/>
  <c r="L24" i="1" s="1"/>
  <c r="M24" i="1" s="1"/>
  <c r="J23" i="1"/>
  <c r="L23" i="1" s="1"/>
  <c r="M23" i="1" s="1"/>
  <c r="I23" i="1"/>
  <c r="H23" i="1"/>
  <c r="J22" i="1"/>
  <c r="L22" i="1" s="1"/>
  <c r="M22" i="1" s="1"/>
  <c r="H22" i="1"/>
  <c r="I22" i="1" s="1"/>
  <c r="H21" i="1"/>
  <c r="J21" i="1" s="1"/>
  <c r="L21" i="1" s="1"/>
  <c r="M21" i="1" s="1"/>
  <c r="H20" i="1"/>
  <c r="I20" i="1" s="1"/>
  <c r="J19" i="1"/>
  <c r="L19" i="1" s="1"/>
  <c r="I19" i="1"/>
  <c r="H19" i="1"/>
  <c r="F16" i="1"/>
  <c r="E16" i="1"/>
  <c r="I15" i="1"/>
  <c r="J15" i="1" s="1"/>
  <c r="H14" i="1"/>
  <c r="I14" i="1" s="1"/>
  <c r="D13" i="1"/>
  <c r="D16" i="1" s="1"/>
  <c r="C13" i="1"/>
  <c r="C16" i="1" s="1"/>
  <c r="H12" i="1"/>
  <c r="J12" i="1" s="1"/>
  <c r="L12" i="1" s="1"/>
  <c r="M12" i="1" s="1"/>
  <c r="J11" i="1"/>
  <c r="L11" i="1" s="1"/>
  <c r="M11" i="1" s="1"/>
  <c r="I11" i="1"/>
  <c r="H11" i="1"/>
  <c r="J10" i="1"/>
  <c r="L10" i="1" s="1"/>
  <c r="M10" i="1" s="1"/>
  <c r="H10" i="1"/>
  <c r="I10" i="1" s="1"/>
  <c r="H9" i="1"/>
  <c r="J9" i="1" s="1"/>
  <c r="L9" i="1" s="1"/>
  <c r="M9" i="1" s="1"/>
  <c r="H8" i="1"/>
  <c r="J8" i="1" s="1"/>
  <c r="L8" i="1" s="1"/>
  <c r="M8" i="1" s="1"/>
  <c r="J7" i="1"/>
  <c r="L7" i="1" s="1"/>
  <c r="M7" i="1" s="1"/>
  <c r="I7" i="1"/>
  <c r="H7" i="1"/>
  <c r="J6" i="1"/>
  <c r="L6" i="1" s="1"/>
  <c r="H6" i="1"/>
  <c r="I6" i="1" s="1"/>
  <c r="F7" i="2" l="1"/>
  <c r="H7" i="2" s="1"/>
  <c r="M56" i="1"/>
  <c r="M61" i="1" s="1"/>
  <c r="M66" i="1" s="1"/>
  <c r="G11" i="2"/>
  <c r="I11" i="2" s="1"/>
  <c r="H11" i="2"/>
  <c r="G13" i="2"/>
  <c r="I13" i="2" s="1"/>
  <c r="H13" i="2"/>
  <c r="L15" i="1"/>
  <c r="M15" i="1" s="1"/>
  <c r="L45" i="1"/>
  <c r="M45" i="1" s="1"/>
  <c r="L50" i="1"/>
  <c r="M50" i="1" s="1"/>
  <c r="F52" i="1"/>
  <c r="C39" i="1"/>
  <c r="E39" i="1"/>
  <c r="L37" i="1"/>
  <c r="M37" i="1" s="1"/>
  <c r="D52" i="1"/>
  <c r="F39" i="1"/>
  <c r="H51" i="1"/>
  <c r="I51" i="1" s="1"/>
  <c r="J51" i="1" s="1"/>
  <c r="L51" i="1" s="1"/>
  <c r="M51" i="1" s="1"/>
  <c r="L33" i="1"/>
  <c r="M33" i="1" s="1"/>
  <c r="E52" i="1"/>
  <c r="D39" i="1"/>
  <c r="M30" i="1"/>
  <c r="M6" i="1"/>
  <c r="H12" i="2"/>
  <c r="G12" i="2"/>
  <c r="I12" i="2" s="1"/>
  <c r="H9" i="2"/>
  <c r="G9" i="2"/>
  <c r="I9" i="2" s="1"/>
  <c r="M19" i="1"/>
  <c r="H10" i="2"/>
  <c r="G10" i="2"/>
  <c r="I10" i="2" s="1"/>
  <c r="H8" i="2"/>
  <c r="G8" i="2"/>
  <c r="I8" i="2" s="1"/>
  <c r="H26" i="1"/>
  <c r="I26" i="1" s="1"/>
  <c r="J26" i="1" s="1"/>
  <c r="L26" i="1" s="1"/>
  <c r="M26" i="1" s="1"/>
  <c r="J14" i="1"/>
  <c r="L14" i="1" s="1"/>
  <c r="M14" i="1" s="1"/>
  <c r="J20" i="1"/>
  <c r="H13" i="1"/>
  <c r="H16" i="1" s="1"/>
  <c r="J32" i="1"/>
  <c r="L32" i="1" s="1"/>
  <c r="M32" i="1" s="1"/>
  <c r="C52" i="1"/>
  <c r="L42" i="1"/>
  <c r="I44" i="1"/>
  <c r="I12" i="1"/>
  <c r="I24" i="1"/>
  <c r="I31" i="1"/>
  <c r="H38" i="1"/>
  <c r="I38" i="1" s="1"/>
  <c r="J38" i="1" s="1"/>
  <c r="L38" i="1" s="1"/>
  <c r="M38" i="1" s="1"/>
  <c r="I9" i="1"/>
  <c r="I21" i="1"/>
  <c r="I34" i="1"/>
  <c r="I8" i="1"/>
  <c r="G7" i="2" l="1"/>
  <c r="I7" i="2" s="1"/>
  <c r="H27" i="1"/>
  <c r="H39" i="1"/>
  <c r="J52" i="1"/>
  <c r="M39" i="1"/>
  <c r="H52" i="1"/>
  <c r="I27" i="1"/>
  <c r="I39" i="1"/>
  <c r="I52" i="1"/>
  <c r="J13" i="1"/>
  <c r="I13" i="1"/>
  <c r="I16" i="1" s="1"/>
  <c r="L20" i="1"/>
  <c r="J27" i="1"/>
  <c r="J39" i="1"/>
  <c r="L52" i="1"/>
  <c r="M42" i="1"/>
  <c r="M52" i="1" s="1"/>
  <c r="L39" i="1"/>
  <c r="M20" i="1" l="1"/>
  <c r="M27" i="1" s="1"/>
  <c r="L27" i="1"/>
  <c r="L13" i="1"/>
  <c r="J16" i="1"/>
  <c r="M13" i="1" l="1"/>
  <c r="M16" i="1" s="1"/>
  <c r="M58" i="1" s="1"/>
  <c r="M60" i="1" s="1"/>
  <c r="L16" i="1"/>
  <c r="L58" i="1" s="1"/>
  <c r="L60" i="1" s="1"/>
  <c r="L62" i="1" l="1"/>
  <c r="L65" i="1"/>
  <c r="L67" i="1" s="1"/>
  <c r="M65" i="1"/>
  <c r="M67" i="1" s="1"/>
  <c r="M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7000000}">
      <text>
        <r>
          <rPr>
            <sz val="11"/>
            <color rgb="FF000000"/>
            <rFont val="Calibri"/>
            <family val="2"/>
            <charset val="186"/>
          </rPr>
          <t>Veebide arvu sisestus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Merje Pihlak</author>
  </authors>
  <commentList>
    <comment ref="B2" authorId="0" shapeId="0" xr:uid="{4A7441ED-0AAD-42A9-9AD2-8973A62455E8}">
      <text>
        <r>
          <rPr>
            <sz val="9"/>
            <color indexed="81"/>
            <rFont val="Tahoma"/>
            <family val="2"/>
            <charset val="186"/>
          </rPr>
          <t>arvutuseks</t>
        </r>
      </text>
    </comment>
  </commentList>
</comments>
</file>

<file path=xl/sharedStrings.xml><?xml version="1.0" encoding="utf-8"?>
<sst xmlns="http://schemas.openxmlformats.org/spreadsheetml/2006/main" count="129" uniqueCount="85">
  <si>
    <t>Veebide arv:</t>
  </si>
  <si>
    <t>Maksumus</t>
  </si>
  <si>
    <t>Aasta</t>
  </si>
  <si>
    <t>Grupp</t>
  </si>
  <si>
    <t>Masin</t>
  </si>
  <si>
    <t>vCPU</t>
  </si>
  <si>
    <t>RAM</t>
  </si>
  <si>
    <t>HDD</t>
  </si>
  <si>
    <t>SSD</t>
  </si>
  <si>
    <t>Märkused</t>
  </si>
  <si>
    <t>päev</t>
  </si>
  <si>
    <t>kuu</t>
  </si>
  <si>
    <t>aasta</t>
  </si>
  <si>
    <t>Tükkide arv</t>
  </si>
  <si>
    <t>kulu</t>
  </si>
  <si>
    <t>Kulu veebi kohta</t>
  </si>
  <si>
    <t>ÜLD</t>
  </si>
  <si>
    <t>RP Tallinn 1</t>
  </si>
  <si>
    <t>admingw</t>
  </si>
  <si>
    <t>võrkude GW</t>
  </si>
  <si>
    <t>repo</t>
  </si>
  <si>
    <t>tools</t>
  </si>
  <si>
    <t>logs</t>
  </si>
  <si>
    <t>loadbalancer</t>
  </si>
  <si>
    <t>monitoring</t>
  </si>
  <si>
    <t>prometheus</t>
  </si>
  <si>
    <t>rancher</t>
  </si>
  <si>
    <t>puhver</t>
  </si>
  <si>
    <t>varundus</t>
  </si>
  <si>
    <t>DEV</t>
  </si>
  <si>
    <t>UT pilv</t>
  </si>
  <si>
    <t>master</t>
  </si>
  <si>
    <t>SSD asemel HDD</t>
  </si>
  <si>
    <t>worker</t>
  </si>
  <si>
    <t>storage</t>
  </si>
  <si>
    <t>mikroteenus</t>
  </si>
  <si>
    <t>vCPU arvestuslik kordaja</t>
  </si>
  <si>
    <t>Storage arvstuslik kordaja</t>
  </si>
  <si>
    <t>TEST</t>
  </si>
  <si>
    <t>vCPU kordaja</t>
  </si>
  <si>
    <t>static</t>
  </si>
  <si>
    <t>LIVE</t>
  </si>
  <si>
    <t>PERSONAL</t>
  </si>
  <si>
    <t>devops</t>
  </si>
  <si>
    <t>projektijuhtimine</t>
  </si>
  <si>
    <t>K8S KOKKU:</t>
  </si>
  <si>
    <t>Perioodi pikkus (kuudes):</t>
  </si>
  <si>
    <t>K8S kuu kulu:</t>
  </si>
  <si>
    <t>Personal kuu kulu:</t>
  </si>
  <si>
    <t>KUU KULU KOKKU:</t>
  </si>
  <si>
    <t>Perioodi kulu (K8S):</t>
  </si>
  <si>
    <t>Perioodi kulu (personal):</t>
  </si>
  <si>
    <t>PERIOODI KULU KOKKU:</t>
  </si>
  <si>
    <t>Veebi instantside arv</t>
  </si>
  <si>
    <t>Riigipilve majutus KM-ta</t>
  </si>
  <si>
    <t>Riigipilve majutus KM-ga</t>
  </si>
  <si>
    <t>Maksumus kuus</t>
  </si>
  <si>
    <t>Maksumus aastas</t>
  </si>
  <si>
    <t>Number /Parameter</t>
  </si>
  <si>
    <t>TEST WORKER #</t>
  </si>
  <si>
    <t>TEST STORAGE #</t>
  </si>
  <si>
    <t>LIVE WORKER #</t>
  </si>
  <si>
    <t>LIVE STORAGE #</t>
  </si>
  <si>
    <t>Rancher CPU</t>
  </si>
  <si>
    <t>Rancher RAM</t>
  </si>
  <si>
    <t>Backup coeff</t>
  </si>
  <si>
    <t>MS CPU</t>
  </si>
  <si>
    <t>MS RAM</t>
  </si>
  <si>
    <t>MS HDD</t>
  </si>
  <si>
    <t>MS SSD</t>
  </si>
  <si>
    <t>Veebide instantside arv</t>
  </si>
  <si>
    <t>2-10</t>
  </si>
  <si>
    <t>11-15</t>
  </si>
  <si>
    <t>16-20</t>
  </si>
  <si>
    <t>21-25</t>
  </si>
  <si>
    <t>26-30</t>
  </si>
  <si>
    <t>31-35</t>
  </si>
  <si>
    <t>36-38</t>
  </si>
  <si>
    <t>39-40</t>
  </si>
  <si>
    <t>41-45</t>
  </si>
  <si>
    <t>46-50</t>
  </si>
  <si>
    <t>Asutusele 2022 aastal</t>
  </si>
  <si>
    <t>Kõigile kokku 2022 aastal</t>
  </si>
  <si>
    <t>Personal</t>
  </si>
  <si>
    <t>Taustainfo: 2021 aastal oli VP baasteenuse maksumus kokkulepitud 4 224,54 € veebilehe kohta aastas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</si>
</sst>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#,##0.00&quot; €&quot;"/>
    <numFmt numFmtId="166" formatCode="_-* #,##0_-;\-* #,##0_-;_-* \-??_-;_-@_-"/>
    <numFmt numFmtId="167" formatCode="0.0"/>
    <numFmt numFmtId="168" formatCode="#,##0.000"/>
  </numFmts>
  <fonts count="15" x14ac:knownFonts="1">
    <font>
      <sz val="11"/>
      <color rgb="FF000000"/>
      <name val="Calibri"/>
      <family val="2"/>
      <charset val="186"/>
    </font>
    <font>
      <sz val="11"/>
      <color rgb="FF000000"/>
      <name val="Arial"/>
      <charset val="186"/>
    </font>
    <font>
      <b/>
      <sz val="11"/>
      <color rgb="FF000000"/>
      <name val="Arial"/>
      <charset val="186"/>
    </font>
    <font>
      <sz val="11"/>
      <name val="Arial"/>
      <charset val="186"/>
    </font>
    <font>
      <i/>
      <sz val="10"/>
      <color rgb="FF000000"/>
      <name val="Arial"/>
      <charset val="186"/>
    </font>
    <font>
      <sz val="11"/>
      <color rgb="FFFF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4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rgb="FF000000"/>
      <name val="Arial"/>
      <family val="2"/>
      <charset val="186"/>
    </font>
    <font>
      <sz val="1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D7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FFFFD7"/>
      </patternFill>
    </fill>
    <fill>
      <patternFill patternType="solid">
        <fgColor rgb="FFFFFFA6"/>
        <bgColor rgb="FFFFFFD7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4" fontId="7" fillId="0" borderId="0" applyBorder="0" applyProtection="0"/>
    <xf numFmtId="164" fontId="7" fillId="0" borderId="0" applyBorder="0" applyProtection="0"/>
    <xf numFmtId="0" fontId="1" fillId="0" borderId="0"/>
  </cellStyleXfs>
  <cellXfs count="132">
    <xf numFmtId="0" fontId="0" fillId="0" borderId="0" xfId="0"/>
    <xf numFmtId="0" fontId="1" fillId="0" borderId="0" xfId="3"/>
    <xf numFmtId="165" fontId="1" fillId="0" borderId="0" xfId="3" applyNumberFormat="1"/>
    <xf numFmtId="0" fontId="1" fillId="2" borderId="0" xfId="3" applyFont="1" applyFill="1"/>
    <xf numFmtId="0" fontId="1" fillId="3" borderId="0" xfId="3" applyFont="1" applyFill="1"/>
    <xf numFmtId="0" fontId="1" fillId="0" borderId="0" xfId="3" applyBorder="1"/>
    <xf numFmtId="0" fontId="2" fillId="0" borderId="0" xfId="3" applyFont="1" applyBorder="1" applyAlignment="1">
      <alignment horizontal="right"/>
    </xf>
    <xf numFmtId="166" fontId="2" fillId="4" borderId="1" xfId="1" applyNumberFormat="1" applyFont="1" applyFill="1" applyBorder="1" applyAlignment="1" applyProtection="1">
      <alignment horizontal="center"/>
    </xf>
    <xf numFmtId="166" fontId="2" fillId="0" borderId="2" xfId="1" applyNumberFormat="1" applyFont="1" applyBorder="1" applyAlignment="1" applyProtection="1">
      <alignment horizontal="center"/>
    </xf>
    <xf numFmtId="165" fontId="2" fillId="0" borderId="3" xfId="3" applyNumberFormat="1" applyFont="1" applyBorder="1" applyAlignment="1">
      <alignment horizontal="center"/>
    </xf>
    <xf numFmtId="0" fontId="1" fillId="0" borderId="3" xfId="3" applyBorder="1"/>
    <xf numFmtId="166" fontId="2" fillId="0" borderId="3" xfId="1" applyNumberFormat="1" applyFont="1" applyBorder="1" applyAlignment="1" applyProtection="1">
      <alignment horizontal="center"/>
    </xf>
    <xf numFmtId="0" fontId="2" fillId="5" borderId="0" xfId="3" applyFont="1" applyFill="1"/>
    <xf numFmtId="165" fontId="2" fillId="0" borderId="4" xfId="3" applyNumberFormat="1" applyFont="1" applyBorder="1"/>
    <xf numFmtId="165" fontId="2" fillId="0" borderId="0" xfId="3" applyNumberFormat="1" applyFont="1" applyBorder="1"/>
    <xf numFmtId="165" fontId="2" fillId="0" borderId="5" xfId="3" applyNumberFormat="1" applyFont="1" applyBorder="1"/>
    <xf numFmtId="0" fontId="2" fillId="0" borderId="6" xfId="3" applyFont="1" applyBorder="1" applyAlignment="1">
      <alignment horizontal="center"/>
    </xf>
    <xf numFmtId="1" fontId="2" fillId="0" borderId="6" xfId="3" applyNumberFormat="1" applyFont="1" applyBorder="1" applyAlignment="1">
      <alignment horizontal="center"/>
    </xf>
    <xf numFmtId="0" fontId="1" fillId="5" borderId="3" xfId="3" applyFont="1" applyFill="1" applyBorder="1"/>
    <xf numFmtId="0" fontId="1" fillId="5" borderId="7" xfId="3" applyFont="1" applyFill="1" applyBorder="1"/>
    <xf numFmtId="0" fontId="2" fillId="5" borderId="7" xfId="3" applyFont="1" applyFill="1" applyBorder="1"/>
    <xf numFmtId="165" fontId="2" fillId="0" borderId="8" xfId="3" applyNumberFormat="1" applyFont="1" applyBorder="1"/>
    <xf numFmtId="165" fontId="2" fillId="0" borderId="9" xfId="3" applyNumberFormat="1" applyFont="1" applyBorder="1"/>
    <xf numFmtId="165" fontId="2" fillId="0" borderId="10" xfId="3" applyNumberFormat="1" applyFont="1" applyBorder="1"/>
    <xf numFmtId="0" fontId="2" fillId="0" borderId="11" xfId="3" applyFont="1" applyBorder="1"/>
    <xf numFmtId="1" fontId="2" fillId="0" borderId="11" xfId="3" applyNumberFormat="1" applyFont="1" applyBorder="1"/>
    <xf numFmtId="0" fontId="0" fillId="5" borderId="0" xfId="0" applyFill="1"/>
    <xf numFmtId="0" fontId="3" fillId="5" borderId="2" xfId="3" applyFont="1" applyFill="1" applyBorder="1"/>
    <xf numFmtId="0" fontId="1" fillId="5" borderId="2" xfId="3" applyFill="1" applyBorder="1"/>
    <xf numFmtId="0" fontId="2" fillId="5" borderId="2" xfId="3" applyFont="1" applyFill="1" applyBorder="1"/>
    <xf numFmtId="165" fontId="1" fillId="0" borderId="12" xfId="3" applyNumberFormat="1" applyBorder="1"/>
    <xf numFmtId="165" fontId="1" fillId="0" borderId="2" xfId="3" applyNumberFormat="1" applyBorder="1"/>
    <xf numFmtId="165" fontId="1" fillId="0" borderId="13" xfId="3" applyNumberFormat="1" applyBorder="1"/>
    <xf numFmtId="166" fontId="1" fillId="0" borderId="12" xfId="1" applyNumberFormat="1" applyFont="1" applyBorder="1" applyAlignment="1" applyProtection="1"/>
    <xf numFmtId="165" fontId="1" fillId="0" borderId="3" xfId="3" applyNumberFormat="1" applyBorder="1"/>
    <xf numFmtId="167" fontId="1" fillId="0" borderId="0" xfId="3" applyNumberFormat="1"/>
    <xf numFmtId="0" fontId="1" fillId="5" borderId="6" xfId="3" applyFill="1" applyBorder="1"/>
    <xf numFmtId="0" fontId="3" fillId="5" borderId="0" xfId="3" applyFont="1" applyFill="1" applyBorder="1"/>
    <xf numFmtId="0" fontId="1" fillId="5" borderId="0" xfId="3" applyFill="1" applyBorder="1"/>
    <xf numFmtId="165" fontId="1" fillId="0" borderId="4" xfId="3" applyNumberFormat="1" applyBorder="1"/>
    <xf numFmtId="165" fontId="1" fillId="0" borderId="0" xfId="3" applyNumberFormat="1" applyBorder="1"/>
    <xf numFmtId="165" fontId="1" fillId="0" borderId="5" xfId="3" applyNumberFormat="1" applyBorder="1"/>
    <xf numFmtId="166" fontId="1" fillId="0" borderId="4" xfId="1" applyNumberFormat="1" applyFont="1" applyBorder="1" applyAlignment="1" applyProtection="1"/>
    <xf numFmtId="165" fontId="1" fillId="0" borderId="6" xfId="3" applyNumberFormat="1" applyBorder="1"/>
    <xf numFmtId="0" fontId="1" fillId="5" borderId="11" xfId="3" applyFill="1" applyBorder="1"/>
    <xf numFmtId="0" fontId="1" fillId="5" borderId="9" xfId="3" applyFont="1" applyFill="1" applyBorder="1"/>
    <xf numFmtId="168" fontId="1" fillId="0" borderId="8" xfId="3" applyNumberFormat="1" applyBorder="1"/>
    <xf numFmtId="165" fontId="1" fillId="0" borderId="9" xfId="3" applyNumberFormat="1" applyBorder="1"/>
    <xf numFmtId="165" fontId="1" fillId="0" borderId="10" xfId="3" applyNumberFormat="1" applyBorder="1"/>
    <xf numFmtId="166" fontId="1" fillId="0" borderId="8" xfId="1" applyNumberFormat="1" applyFont="1" applyBorder="1" applyAlignment="1" applyProtection="1"/>
    <xf numFmtId="165" fontId="1" fillId="0" borderId="8" xfId="3" applyNumberFormat="1" applyBorder="1"/>
    <xf numFmtId="165" fontId="1" fillId="0" borderId="11" xfId="3" applyNumberFormat="1" applyBorder="1"/>
    <xf numFmtId="0" fontId="1" fillId="5" borderId="0" xfId="3" applyFill="1"/>
    <xf numFmtId="0" fontId="1" fillId="5" borderId="12" xfId="3" applyFont="1" applyFill="1" applyBorder="1"/>
    <xf numFmtId="0" fontId="1" fillId="5" borderId="4" xfId="3" applyFont="1" applyFill="1" applyBorder="1"/>
    <xf numFmtId="0" fontId="1" fillId="5" borderId="8" xfId="3" applyFont="1" applyFill="1" applyBorder="1"/>
    <xf numFmtId="0" fontId="1" fillId="6" borderId="8" xfId="3" applyFont="1" applyFill="1" applyBorder="1"/>
    <xf numFmtId="0" fontId="1" fillId="6" borderId="9" xfId="3" applyFont="1" applyFill="1" applyBorder="1"/>
    <xf numFmtId="166" fontId="1" fillId="6" borderId="8" xfId="1" applyNumberFormat="1" applyFont="1" applyFill="1" applyBorder="1" applyAlignment="1" applyProtection="1"/>
    <xf numFmtId="0" fontId="4" fillId="5" borderId="0" xfId="3" applyFont="1" applyFill="1" applyAlignment="1">
      <alignment horizontal="right"/>
    </xf>
    <xf numFmtId="165" fontId="1" fillId="0" borderId="0" xfId="3" applyNumberFormat="1" applyFont="1" applyBorder="1" applyAlignment="1">
      <alignment horizontal="right"/>
    </xf>
    <xf numFmtId="164" fontId="1" fillId="0" borderId="0" xfId="1" applyFont="1" applyBorder="1" applyAlignment="1" applyProtection="1"/>
    <xf numFmtId="0" fontId="3" fillId="5" borderId="12" xfId="3" applyFont="1" applyFill="1" applyBorder="1"/>
    <xf numFmtId="1" fontId="1" fillId="0" borderId="0" xfId="3" applyNumberFormat="1"/>
    <xf numFmtId="0" fontId="1" fillId="5" borderId="0" xfId="3" applyFont="1" applyFill="1" applyBorder="1"/>
    <xf numFmtId="0" fontId="1" fillId="6" borderId="11" xfId="3" applyFill="1" applyBorder="1"/>
    <xf numFmtId="0" fontId="1" fillId="5" borderId="14" xfId="3" applyFont="1" applyFill="1" applyBorder="1"/>
    <xf numFmtId="0" fontId="3" fillId="5" borderId="14" xfId="3" applyFont="1" applyFill="1" applyBorder="1"/>
    <xf numFmtId="0" fontId="2" fillId="0" borderId="0" xfId="3" applyFont="1"/>
    <xf numFmtId="165" fontId="2" fillId="0" borderId="0" xfId="3" applyNumberFormat="1" applyFont="1"/>
    <xf numFmtId="0" fontId="1" fillId="0" borderId="2" xfId="3" applyFont="1" applyBorder="1"/>
    <xf numFmtId="165" fontId="1" fillId="0" borderId="12" xfId="3" applyNumberFormat="1" applyFont="1" applyBorder="1"/>
    <xf numFmtId="165" fontId="1" fillId="0" borderId="3" xfId="3" applyNumberFormat="1" applyFont="1" applyBorder="1"/>
    <xf numFmtId="0" fontId="1" fillId="0" borderId="11" xfId="3" applyBorder="1"/>
    <xf numFmtId="0" fontId="1" fillId="0" borderId="9" xfId="3" applyFont="1" applyBorder="1"/>
    <xf numFmtId="165" fontId="1" fillId="0" borderId="8" xfId="3" applyNumberFormat="1" applyFont="1" applyBorder="1"/>
    <xf numFmtId="165" fontId="1" fillId="0" borderId="11" xfId="3" applyNumberFormat="1" applyFont="1" applyBorder="1"/>
    <xf numFmtId="0" fontId="2" fillId="0" borderId="0" xfId="3" applyFont="1" applyAlignment="1">
      <alignment horizontal="right"/>
    </xf>
    <xf numFmtId="0" fontId="1" fillId="0" borderId="0" xfId="3" applyFont="1" applyAlignment="1">
      <alignment horizontal="right"/>
    </xf>
    <xf numFmtId="166" fontId="0" fillId="0" borderId="0" xfId="2" applyNumberFormat="1" applyFont="1" applyBorder="1" applyAlignment="1" applyProtection="1"/>
    <xf numFmtId="165" fontId="1" fillId="0" borderId="0" xfId="3" applyNumberFormat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5" xfId="0" applyFont="1" applyBorder="1"/>
    <xf numFmtId="0" fontId="8" fillId="0" borderId="16" xfId="0" applyFont="1" applyBorder="1"/>
    <xf numFmtId="0" fontId="9" fillId="0" borderId="0" xfId="0" applyFont="1"/>
    <xf numFmtId="0" fontId="6" fillId="0" borderId="0" xfId="0" applyFont="1" applyFill="1"/>
    <xf numFmtId="165" fontId="0" fillId="0" borderId="1" xfId="0" applyNumberFormat="1" applyFill="1" applyBorder="1"/>
    <xf numFmtId="0" fontId="0" fillId="0" borderId="0" xfId="0" applyAlignment="1">
      <alignment wrapText="1"/>
    </xf>
    <xf numFmtId="0" fontId="0" fillId="0" borderId="14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19" xfId="0" applyFont="1" applyBorder="1" applyAlignment="1">
      <alignment wrapText="1"/>
    </xf>
    <xf numFmtId="165" fontId="0" fillId="0" borderId="1" xfId="0" applyNumberFormat="1" applyFont="1" applyFill="1" applyBorder="1"/>
    <xf numFmtId="0" fontId="0" fillId="0" borderId="3" xfId="0" applyFont="1" applyFill="1" applyBorder="1" applyAlignment="1">
      <alignment wrapText="1"/>
    </xf>
    <xf numFmtId="165" fontId="11" fillId="0" borderId="11" xfId="0" applyNumberFormat="1" applyFont="1" applyFill="1" applyBorder="1"/>
    <xf numFmtId="0" fontId="0" fillId="0" borderId="0" xfId="0" applyFill="1"/>
    <xf numFmtId="0" fontId="0" fillId="0" borderId="1" xfId="0" applyFill="1" applyBorder="1"/>
    <xf numFmtId="165" fontId="8" fillId="0" borderId="11" xfId="0" applyNumberFormat="1" applyFont="1" applyFill="1" applyBorder="1"/>
    <xf numFmtId="165" fontId="8" fillId="0" borderId="1" xfId="0" applyNumberFormat="1" applyFont="1" applyFill="1" applyBorder="1"/>
    <xf numFmtId="164" fontId="1" fillId="0" borderId="1" xfId="1" applyFont="1" applyFill="1" applyBorder="1" applyAlignment="1" applyProtection="1"/>
    <xf numFmtId="165" fontId="13" fillId="0" borderId="1" xfId="0" applyNumberFormat="1" applyFont="1" applyFill="1" applyBorder="1"/>
    <xf numFmtId="0" fontId="13" fillId="0" borderId="1" xfId="0" applyFont="1" applyFill="1" applyBorder="1"/>
    <xf numFmtId="165" fontId="14" fillId="0" borderId="0" xfId="3" applyNumberFormat="1" applyFont="1"/>
    <xf numFmtId="0" fontId="14" fillId="0" borderId="0" xfId="3" applyFont="1" applyAlignment="1">
      <alignment horizontal="right"/>
    </xf>
    <xf numFmtId="1" fontId="0" fillId="0" borderId="3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11" fillId="0" borderId="15" xfId="0" applyFont="1" applyBorder="1"/>
    <xf numFmtId="0" fontId="11" fillId="0" borderId="16" xfId="0" applyFont="1" applyBorder="1"/>
    <xf numFmtId="165" fontId="11" fillId="0" borderId="1" xfId="0" applyNumberFormat="1" applyFont="1" applyFill="1" applyBorder="1"/>
    <xf numFmtId="0" fontId="11" fillId="0" borderId="0" xfId="0" applyFont="1"/>
    <xf numFmtId="0" fontId="0" fillId="0" borderId="0" xfId="0" applyFill="1" applyAlignment="1">
      <alignment wrapText="1"/>
    </xf>
    <xf numFmtId="0" fontId="0" fillId="0" borderId="0" xfId="0" applyAlignment="1"/>
    <xf numFmtId="49" fontId="6" fillId="0" borderId="1" xfId="0" applyNumberFormat="1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2" fillId="0" borderId="3" xfId="3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6000000}"/>
    <cellStyle name="Normal" xfId="0" builtinId="0"/>
    <cellStyle name="Normal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5B9BD5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7"/>
  <sheetViews>
    <sheetView tabSelected="1" zoomScale="83" zoomScaleNormal="83" workbookViewId="0">
      <pane ySplit="5" topLeftCell="A6" activePane="bottomLeft" state="frozen"/>
      <selection pane="bottomLeft" activeCell="I1" sqref="I1"/>
    </sheetView>
  </sheetViews>
  <sheetFormatPr defaultColWidth="9.1796875" defaultRowHeight="14.5" x14ac:dyDescent="0.35"/>
  <cols>
    <col min="1" max="1" width="16.54296875" style="1" customWidth="1"/>
    <col min="2" max="2" width="18.81640625" style="1" customWidth="1"/>
    <col min="3" max="6" width="9.1796875" style="1"/>
    <col min="7" max="7" width="19.26953125" style="1" customWidth="1"/>
    <col min="8" max="8" width="12" style="2" customWidth="1"/>
    <col min="9" max="9" width="12.54296875" style="2" customWidth="1"/>
    <col min="10" max="10" width="12.1796875" style="2" customWidth="1"/>
    <col min="11" max="11" width="14" style="1" customWidth="1"/>
    <col min="12" max="12" width="16.54296875" style="2" customWidth="1"/>
    <col min="13" max="13" width="18.453125" style="2" customWidth="1"/>
    <col min="14" max="14" width="9.1796875" style="1"/>
    <col min="15" max="15" width="12.6328125" style="1" customWidth="1"/>
    <col min="16" max="16" width="11.81640625" style="1" customWidth="1"/>
    <col min="17" max="1024" width="9.1796875" style="1"/>
  </cols>
  <sheetData>
    <row r="1" spans="1:18" x14ac:dyDescent="0.35">
      <c r="A1" s="3"/>
      <c r="B1" s="4"/>
      <c r="H1" s="5"/>
      <c r="I1" s="5"/>
      <c r="J1" s="5"/>
      <c r="K1" s="5"/>
      <c r="L1" s="6" t="s">
        <v>0</v>
      </c>
      <c r="M1" s="7">
        <v>30</v>
      </c>
    </row>
    <row r="2" spans="1:18" x14ac:dyDescent="0.35">
      <c r="H2" s="5"/>
      <c r="I2" s="5"/>
      <c r="J2" s="5"/>
      <c r="K2" s="5"/>
      <c r="L2" s="6"/>
      <c r="M2" s="8"/>
    </row>
    <row r="3" spans="1:18" x14ac:dyDescent="0.35">
      <c r="H3" s="130" t="s">
        <v>1</v>
      </c>
      <c r="I3" s="130"/>
      <c r="J3" s="130"/>
      <c r="K3" s="10"/>
      <c r="L3" s="9" t="s">
        <v>2</v>
      </c>
      <c r="M3" s="11"/>
    </row>
    <row r="4" spans="1:18" x14ac:dyDescent="0.3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7" t="s">
        <v>14</v>
      </c>
      <c r="M4" s="16" t="s">
        <v>15</v>
      </c>
    </row>
    <row r="5" spans="1:18" x14ac:dyDescent="0.35">
      <c r="A5" s="18" t="s">
        <v>16</v>
      </c>
      <c r="B5" s="19" t="s">
        <v>17</v>
      </c>
      <c r="C5" s="19">
        <v>0.1</v>
      </c>
      <c r="D5" s="19">
        <v>0.1</v>
      </c>
      <c r="E5" s="19">
        <v>3.3E-3</v>
      </c>
      <c r="F5" s="19">
        <v>8.0000000000000002E-3</v>
      </c>
      <c r="G5" s="20"/>
      <c r="H5" s="21"/>
      <c r="I5" s="22"/>
      <c r="J5" s="23"/>
      <c r="K5" s="24"/>
      <c r="L5" s="25"/>
      <c r="M5" s="24"/>
    </row>
    <row r="6" spans="1:18" x14ac:dyDescent="0.35">
      <c r="A6" s="26"/>
      <c r="B6" s="27" t="s">
        <v>18</v>
      </c>
      <c r="C6" s="28">
        <v>2</v>
      </c>
      <c r="D6" s="28">
        <v>4</v>
      </c>
      <c r="E6" s="28">
        <v>10</v>
      </c>
      <c r="F6" s="29"/>
      <c r="G6" s="29"/>
      <c r="H6" s="30">
        <f t="shared" ref="H6:H14" si="0">SUM(C6*$C$5)+SUM(D6*$D$5)+SUM(E6*$E$5)+SUM(F6*$F$5)</f>
        <v>0.63300000000000012</v>
      </c>
      <c r="I6" s="31">
        <f t="shared" ref="I6:I14" si="1">SUM(H6*30)</f>
        <v>18.990000000000002</v>
      </c>
      <c r="J6" s="32">
        <f t="shared" ref="J6:J14" si="2">SUM(H6*365)</f>
        <v>231.04500000000004</v>
      </c>
      <c r="K6" s="33">
        <v>1</v>
      </c>
      <c r="L6" s="30">
        <f>SUM($J6*K6)</f>
        <v>231.04500000000004</v>
      </c>
      <c r="M6" s="34">
        <f t="shared" ref="M6:M15" si="3">SUM(L6/$M$1)</f>
        <v>7.7015000000000011</v>
      </c>
      <c r="O6" s="35"/>
      <c r="P6" s="35"/>
      <c r="Q6" s="35"/>
      <c r="R6" s="35"/>
    </row>
    <row r="7" spans="1:18" x14ac:dyDescent="0.35">
      <c r="A7" s="18"/>
      <c r="B7" s="27" t="s">
        <v>19</v>
      </c>
      <c r="C7" s="28">
        <v>1</v>
      </c>
      <c r="D7" s="28">
        <v>0.5</v>
      </c>
      <c r="E7" s="28">
        <v>10</v>
      </c>
      <c r="F7" s="29"/>
      <c r="G7" s="29"/>
      <c r="H7" s="30">
        <f t="shared" si="0"/>
        <v>0.18300000000000002</v>
      </c>
      <c r="I7" s="31">
        <f t="shared" si="1"/>
        <v>5.4900000000000011</v>
      </c>
      <c r="J7" s="32">
        <f t="shared" si="2"/>
        <v>66.795000000000002</v>
      </c>
      <c r="K7" s="33">
        <v>1</v>
      </c>
      <c r="L7" s="30">
        <f>SUM($J7*K7)</f>
        <v>66.795000000000002</v>
      </c>
      <c r="M7" s="34">
        <f t="shared" si="3"/>
        <v>2.2265000000000001</v>
      </c>
      <c r="O7" s="35"/>
      <c r="P7" s="35"/>
      <c r="Q7" s="35"/>
      <c r="R7" s="35"/>
    </row>
    <row r="8" spans="1:18" x14ac:dyDescent="0.35">
      <c r="A8" s="36"/>
      <c r="B8" s="37" t="s">
        <v>20</v>
      </c>
      <c r="C8" s="38">
        <v>4</v>
      </c>
      <c r="D8" s="38">
        <v>8</v>
      </c>
      <c r="E8" s="38">
        <v>64</v>
      </c>
      <c r="F8" s="38"/>
      <c r="G8" s="38"/>
      <c r="H8" s="39">
        <f t="shared" si="0"/>
        <v>1.4112000000000002</v>
      </c>
      <c r="I8" s="40">
        <f t="shared" si="1"/>
        <v>42.336000000000006</v>
      </c>
      <c r="J8" s="41">
        <f t="shared" si="2"/>
        <v>515.08800000000008</v>
      </c>
      <c r="K8" s="42">
        <v>1</v>
      </c>
      <c r="L8" s="39">
        <f>SUM($J$8*K8)</f>
        <v>515.08800000000008</v>
      </c>
      <c r="M8" s="43">
        <f t="shared" si="3"/>
        <v>17.169600000000003</v>
      </c>
      <c r="O8" s="35"/>
      <c r="P8" s="35"/>
      <c r="Q8" s="35"/>
      <c r="R8" s="35"/>
    </row>
    <row r="9" spans="1:18" x14ac:dyDescent="0.35">
      <c r="A9" s="36"/>
      <c r="B9" s="38" t="s">
        <v>21</v>
      </c>
      <c r="C9" s="38">
        <v>4</v>
      </c>
      <c r="D9" s="38">
        <v>14</v>
      </c>
      <c r="E9" s="38">
        <v>64</v>
      </c>
      <c r="F9" s="38"/>
      <c r="G9" s="38"/>
      <c r="H9" s="39">
        <f t="shared" si="0"/>
        <v>2.0112000000000001</v>
      </c>
      <c r="I9" s="40">
        <f t="shared" si="1"/>
        <v>60.336000000000006</v>
      </c>
      <c r="J9" s="41">
        <f t="shared" si="2"/>
        <v>734.08800000000008</v>
      </c>
      <c r="K9" s="42">
        <v>1</v>
      </c>
      <c r="L9" s="39">
        <f>SUM($J$9*K9)</f>
        <v>734.08800000000008</v>
      </c>
      <c r="M9" s="43">
        <f t="shared" si="3"/>
        <v>24.469600000000003</v>
      </c>
      <c r="O9" s="35"/>
      <c r="P9" s="35"/>
      <c r="Q9" s="35"/>
      <c r="R9" s="35"/>
    </row>
    <row r="10" spans="1:18" x14ac:dyDescent="0.35">
      <c r="A10" s="36"/>
      <c r="B10" s="38" t="s">
        <v>22</v>
      </c>
      <c r="C10" s="38">
        <v>4</v>
      </c>
      <c r="D10" s="38">
        <v>11</v>
      </c>
      <c r="E10" s="38">
        <v>64</v>
      </c>
      <c r="F10" s="38">
        <v>40</v>
      </c>
      <c r="G10" s="38"/>
      <c r="H10" s="39">
        <f t="shared" si="0"/>
        <v>2.0312000000000001</v>
      </c>
      <c r="I10" s="40">
        <f t="shared" si="1"/>
        <v>60.936000000000007</v>
      </c>
      <c r="J10" s="41">
        <f t="shared" si="2"/>
        <v>741.38800000000003</v>
      </c>
      <c r="K10" s="42">
        <v>2</v>
      </c>
      <c r="L10" s="39">
        <f>SUM($J$10*K10)</f>
        <v>1482.7760000000001</v>
      </c>
      <c r="M10" s="43">
        <f t="shared" si="3"/>
        <v>49.425866666666671</v>
      </c>
      <c r="O10" s="35"/>
      <c r="P10" s="35"/>
      <c r="Q10" s="35"/>
      <c r="R10" s="35"/>
    </row>
    <row r="11" spans="1:18" x14ac:dyDescent="0.35">
      <c r="A11" s="36"/>
      <c r="B11" s="38" t="s">
        <v>23</v>
      </c>
      <c r="C11" s="38">
        <v>2</v>
      </c>
      <c r="D11" s="38">
        <v>4</v>
      </c>
      <c r="E11" s="38">
        <v>10</v>
      </c>
      <c r="F11" s="38"/>
      <c r="G11" s="38"/>
      <c r="H11" s="39">
        <f t="shared" si="0"/>
        <v>0.63300000000000012</v>
      </c>
      <c r="I11" s="40">
        <f t="shared" si="1"/>
        <v>18.990000000000002</v>
      </c>
      <c r="J11" s="41">
        <f t="shared" si="2"/>
        <v>231.04500000000004</v>
      </c>
      <c r="K11" s="42">
        <v>1</v>
      </c>
      <c r="L11" s="39">
        <f>SUM($J$11*K11)</f>
        <v>231.04500000000004</v>
      </c>
      <c r="M11" s="43">
        <f t="shared" si="3"/>
        <v>7.7015000000000011</v>
      </c>
      <c r="O11" s="35"/>
      <c r="P11" s="35"/>
      <c r="Q11" s="35"/>
      <c r="R11" s="35"/>
    </row>
    <row r="12" spans="1:18" x14ac:dyDescent="0.35">
      <c r="A12" s="36"/>
      <c r="B12" s="38" t="s">
        <v>24</v>
      </c>
      <c r="C12" s="38">
        <v>4</v>
      </c>
      <c r="D12" s="38">
        <v>8</v>
      </c>
      <c r="E12" s="38">
        <v>64</v>
      </c>
      <c r="F12" s="38"/>
      <c r="G12" s="38" t="s">
        <v>25</v>
      </c>
      <c r="H12" s="39">
        <f t="shared" si="0"/>
        <v>1.4112000000000002</v>
      </c>
      <c r="I12" s="40">
        <f t="shared" si="1"/>
        <v>42.336000000000006</v>
      </c>
      <c r="J12" s="41">
        <f t="shared" si="2"/>
        <v>515.08800000000008</v>
      </c>
      <c r="K12" s="42">
        <v>2</v>
      </c>
      <c r="L12" s="39">
        <f>SUM($J$12*K12)</f>
        <v>1030.1760000000002</v>
      </c>
      <c r="M12" s="43">
        <f t="shared" si="3"/>
        <v>34.339200000000005</v>
      </c>
      <c r="O12" s="35"/>
      <c r="P12" s="35"/>
      <c r="Q12" s="35"/>
      <c r="R12" s="35"/>
    </row>
    <row r="13" spans="1:18" x14ac:dyDescent="0.35">
      <c r="A13" s="36"/>
      <c r="B13" s="38" t="s">
        <v>26</v>
      </c>
      <c r="C13" s="38">
        <f>INDEX(Seadistused!$A$3:$T$70,MATCH(M1,Seadistused!$A$3:$A$70,1),6)</f>
        <v>4</v>
      </c>
      <c r="D13" s="38">
        <f>INDEX(Seadistused!$A$3:$T$70,MATCH(M1,Seadistused!$A$3:$A$70,1),7)</f>
        <v>14</v>
      </c>
      <c r="E13" s="38"/>
      <c r="F13" s="38">
        <v>40</v>
      </c>
      <c r="G13" s="38"/>
      <c r="H13" s="39">
        <f t="shared" si="0"/>
        <v>2.12</v>
      </c>
      <c r="I13" s="40">
        <f t="shared" si="1"/>
        <v>63.6</v>
      </c>
      <c r="J13" s="41">
        <f t="shared" si="2"/>
        <v>773.80000000000007</v>
      </c>
      <c r="K13" s="42">
        <v>1</v>
      </c>
      <c r="L13" s="39">
        <f>SUM($J$13*K13)</f>
        <v>773.80000000000007</v>
      </c>
      <c r="M13" s="43">
        <f t="shared" si="3"/>
        <v>25.793333333333337</v>
      </c>
      <c r="O13" s="35"/>
      <c r="P13" s="35"/>
      <c r="Q13" s="35"/>
      <c r="R13" s="35"/>
    </row>
    <row r="14" spans="1:18" x14ac:dyDescent="0.35">
      <c r="A14" s="36"/>
      <c r="B14" s="38" t="s">
        <v>27</v>
      </c>
      <c r="C14" s="38">
        <v>4</v>
      </c>
      <c r="D14" s="38">
        <v>4</v>
      </c>
      <c r="E14" s="38">
        <v>160</v>
      </c>
      <c r="F14" s="38">
        <v>80</v>
      </c>
      <c r="G14" s="38"/>
      <c r="H14" s="39">
        <f t="shared" si="0"/>
        <v>1.968</v>
      </c>
      <c r="I14" s="40">
        <f t="shared" si="1"/>
        <v>59.04</v>
      </c>
      <c r="J14" s="41">
        <f t="shared" si="2"/>
        <v>718.31999999999994</v>
      </c>
      <c r="K14" s="42">
        <v>1</v>
      </c>
      <c r="L14" s="39">
        <f>SUM($J$14*K14)</f>
        <v>718.31999999999994</v>
      </c>
      <c r="M14" s="43">
        <f t="shared" si="3"/>
        <v>23.943999999999999</v>
      </c>
      <c r="O14" s="35"/>
      <c r="P14" s="35"/>
      <c r="Q14" s="35"/>
      <c r="R14" s="35"/>
    </row>
    <row r="15" spans="1:18" x14ac:dyDescent="0.35">
      <c r="A15" s="44"/>
      <c r="B15" s="45" t="s">
        <v>28</v>
      </c>
      <c r="C15" s="45"/>
      <c r="D15" s="45"/>
      <c r="E15" s="45"/>
      <c r="F15" s="45"/>
      <c r="G15" s="45"/>
      <c r="H15" s="46">
        <v>2E-3</v>
      </c>
      <c r="I15" s="47">
        <f>H15*30</f>
        <v>0.06</v>
      </c>
      <c r="J15" s="48">
        <f>I15*12</f>
        <v>0.72</v>
      </c>
      <c r="K15" s="49">
        <f>600*INDEX(Seadistused!A7:H20,MATCH(M1,Seadistused!A3:A15,1),8)</f>
        <v>1080</v>
      </c>
      <c r="L15" s="50">
        <f>SUM($J$15*K15)</f>
        <v>777.6</v>
      </c>
      <c r="M15" s="51">
        <f t="shared" si="3"/>
        <v>25.92</v>
      </c>
      <c r="O15" s="35"/>
      <c r="P15" s="35"/>
      <c r="Q15" s="35"/>
      <c r="R15" s="35"/>
    </row>
    <row r="16" spans="1:18" x14ac:dyDescent="0.35">
      <c r="A16" s="52"/>
      <c r="B16" s="52"/>
      <c r="C16" s="12">
        <f>SUMPRODUCT(C6:C14,K6:K14)</f>
        <v>37</v>
      </c>
      <c r="D16" s="12">
        <f>SUMPRODUCT(D6:D14,K6:K14)</f>
        <v>86.5</v>
      </c>
      <c r="E16" s="12">
        <f>SUMPRODUCT(E6:E14,K6:K14)</f>
        <v>574</v>
      </c>
      <c r="F16" s="12">
        <f>SUMPRODUCT(F6:F14,K6:K14)</f>
        <v>200</v>
      </c>
      <c r="G16" s="52"/>
      <c r="H16" s="14">
        <f>SUMPRODUCT(H6:H15,$K6:$K15)</f>
        <v>18.004200000000001</v>
      </c>
      <c r="I16" s="14">
        <f>SUMPRODUCT(I6:I15,$K6:$K15)</f>
        <v>540.12600000000009</v>
      </c>
      <c r="J16" s="14">
        <f>SUMPRODUCT(J6:J15,$K6:$K15)</f>
        <v>6560.7330000000011</v>
      </c>
      <c r="K16" s="5"/>
      <c r="L16" s="14">
        <f>SUM(L6:L15)</f>
        <v>6560.7330000000011</v>
      </c>
      <c r="M16" s="14">
        <f>SUM(M6:M15)</f>
        <v>218.69110000000001</v>
      </c>
    </row>
    <row r="17" spans="1:19" x14ac:dyDescent="0.35">
      <c r="A17" s="52"/>
      <c r="B17" s="52"/>
      <c r="C17" s="52"/>
      <c r="D17" s="52"/>
      <c r="E17" s="52"/>
      <c r="F17" s="52"/>
      <c r="G17" s="52"/>
      <c r="H17" s="14"/>
      <c r="I17" s="14"/>
      <c r="J17" s="14"/>
      <c r="K17" s="5"/>
      <c r="L17" s="14"/>
      <c r="M17" s="14"/>
    </row>
    <row r="18" spans="1:19" x14ac:dyDescent="0.35">
      <c r="A18" s="19" t="s">
        <v>29</v>
      </c>
      <c r="B18" s="19" t="s">
        <v>30</v>
      </c>
      <c r="C18" s="19">
        <v>7.1999999999999995E-2</v>
      </c>
      <c r="D18" s="19">
        <v>3.1199999999999999E-2</v>
      </c>
      <c r="E18" s="19">
        <v>3.2000000000000002E-3</v>
      </c>
      <c r="F18" s="19">
        <v>3.2000000000000002E-3</v>
      </c>
      <c r="G18" s="19"/>
      <c r="H18" s="14"/>
      <c r="I18" s="14"/>
      <c r="J18" s="14"/>
      <c r="K18" s="5"/>
      <c r="L18" s="40"/>
      <c r="M18" s="40"/>
    </row>
    <row r="19" spans="1:19" x14ac:dyDescent="0.35">
      <c r="A19" s="26"/>
      <c r="B19" s="53" t="s">
        <v>18</v>
      </c>
      <c r="C19" s="28">
        <v>2</v>
      </c>
      <c r="D19" s="28">
        <v>2</v>
      </c>
      <c r="E19" s="28">
        <v>10</v>
      </c>
      <c r="F19" s="28"/>
      <c r="G19" s="28"/>
      <c r="H19" s="30">
        <f t="shared" ref="H19:H24" si="4">SUM(C19*$C$18)+SUM(D19*$D$18)+SUM(E19*$E$18)+SUM(F19*$F$18)</f>
        <v>0.23839999999999997</v>
      </c>
      <c r="I19" s="31">
        <f t="shared" ref="I19:I24" si="5">SUM(H19*30)</f>
        <v>7.1519999999999992</v>
      </c>
      <c r="J19" s="32">
        <f t="shared" ref="J19:J24" si="6">SUM(H19*365)</f>
        <v>87.015999999999991</v>
      </c>
      <c r="K19" s="33">
        <v>1</v>
      </c>
      <c r="L19" s="30">
        <f>SUM($J$19*K19)</f>
        <v>87.015999999999991</v>
      </c>
      <c r="M19" s="34">
        <f t="shared" ref="M19:M26" si="7">SUM(L19/$M$1)</f>
        <v>2.9005333333333332</v>
      </c>
    </row>
    <row r="20" spans="1:19" x14ac:dyDescent="0.35">
      <c r="A20" s="36"/>
      <c r="B20" s="54" t="s">
        <v>31</v>
      </c>
      <c r="C20" s="38">
        <v>4</v>
      </c>
      <c r="D20" s="38">
        <v>8</v>
      </c>
      <c r="E20" s="38">
        <v>15</v>
      </c>
      <c r="F20" s="38">
        <v>45</v>
      </c>
      <c r="G20" s="38" t="s">
        <v>32</v>
      </c>
      <c r="H20" s="39">
        <f t="shared" si="4"/>
        <v>0.72960000000000003</v>
      </c>
      <c r="I20" s="40">
        <f t="shared" si="5"/>
        <v>21.888000000000002</v>
      </c>
      <c r="J20" s="41">
        <f t="shared" si="6"/>
        <v>266.30400000000003</v>
      </c>
      <c r="K20" s="42">
        <v>1</v>
      </c>
      <c r="L20" s="39">
        <f>SUM($J$20*K20)</f>
        <v>266.30400000000003</v>
      </c>
      <c r="M20" s="43">
        <f t="shared" si="7"/>
        <v>8.8768000000000011</v>
      </c>
    </row>
    <row r="21" spans="1:19" x14ac:dyDescent="0.35">
      <c r="A21" s="36"/>
      <c r="B21" s="54" t="s">
        <v>33</v>
      </c>
      <c r="C21" s="38">
        <v>4</v>
      </c>
      <c r="D21" s="38">
        <v>8</v>
      </c>
      <c r="E21" s="38">
        <v>40</v>
      </c>
      <c r="F21" s="38">
        <v>0</v>
      </c>
      <c r="G21" s="38" t="s">
        <v>32</v>
      </c>
      <c r="H21" s="39">
        <f t="shared" si="4"/>
        <v>0.66559999999999997</v>
      </c>
      <c r="I21" s="40">
        <f t="shared" si="5"/>
        <v>19.968</v>
      </c>
      <c r="J21" s="41">
        <f t="shared" si="6"/>
        <v>242.94399999999999</v>
      </c>
      <c r="K21" s="42">
        <v>2</v>
      </c>
      <c r="L21" s="39">
        <f>SUM($J$21*K21)</f>
        <v>485.88799999999998</v>
      </c>
      <c r="M21" s="43">
        <f t="shared" si="7"/>
        <v>16.196266666666666</v>
      </c>
    </row>
    <row r="22" spans="1:19" x14ac:dyDescent="0.35">
      <c r="A22" s="36"/>
      <c r="B22" s="54" t="s">
        <v>34</v>
      </c>
      <c r="C22" s="38">
        <v>2</v>
      </c>
      <c r="D22" s="38">
        <v>4</v>
      </c>
      <c r="E22" s="38">
        <v>10</v>
      </c>
      <c r="F22" s="38">
        <v>54</v>
      </c>
      <c r="G22" s="38"/>
      <c r="H22" s="39">
        <f t="shared" si="4"/>
        <v>0.47359999999999997</v>
      </c>
      <c r="I22" s="40">
        <f t="shared" si="5"/>
        <v>14.207999999999998</v>
      </c>
      <c r="J22" s="41">
        <f t="shared" si="6"/>
        <v>172.86399999999998</v>
      </c>
      <c r="K22" s="42">
        <v>3</v>
      </c>
      <c r="L22" s="39">
        <f>SUM($J$22*K22)</f>
        <v>518.59199999999987</v>
      </c>
      <c r="M22" s="43">
        <f t="shared" si="7"/>
        <v>17.286399999999997</v>
      </c>
    </row>
    <row r="23" spans="1:19" x14ac:dyDescent="0.35">
      <c r="A23" s="36"/>
      <c r="B23" s="54" t="s">
        <v>23</v>
      </c>
      <c r="C23" s="38">
        <v>2</v>
      </c>
      <c r="D23" s="38">
        <v>2</v>
      </c>
      <c r="E23" s="38">
        <v>10</v>
      </c>
      <c r="F23" s="38"/>
      <c r="G23" s="38"/>
      <c r="H23" s="39">
        <f t="shared" si="4"/>
        <v>0.23839999999999997</v>
      </c>
      <c r="I23" s="40">
        <f t="shared" si="5"/>
        <v>7.1519999999999992</v>
      </c>
      <c r="J23" s="41">
        <f t="shared" si="6"/>
        <v>87.015999999999991</v>
      </c>
      <c r="K23" s="42">
        <v>1</v>
      </c>
      <c r="L23" s="39">
        <f>SUM($J23*K23)</f>
        <v>87.015999999999991</v>
      </c>
      <c r="M23" s="43">
        <f t="shared" si="7"/>
        <v>2.9005333333333332</v>
      </c>
    </row>
    <row r="24" spans="1:19" x14ac:dyDescent="0.35">
      <c r="A24" s="36"/>
      <c r="B24" s="38" t="s">
        <v>27</v>
      </c>
      <c r="C24" s="38"/>
      <c r="D24" s="38"/>
      <c r="E24" s="38"/>
      <c r="F24" s="38">
        <v>92</v>
      </c>
      <c r="G24" s="38"/>
      <c r="H24" s="39">
        <f t="shared" si="4"/>
        <v>0.2944</v>
      </c>
      <c r="I24" s="40">
        <f t="shared" si="5"/>
        <v>8.8320000000000007</v>
      </c>
      <c r="J24" s="41">
        <f t="shared" si="6"/>
        <v>107.456</v>
      </c>
      <c r="K24" s="42">
        <v>1</v>
      </c>
      <c r="L24" s="39">
        <f>SUM($J24*K24)</f>
        <v>107.456</v>
      </c>
      <c r="M24" s="43">
        <f t="shared" si="7"/>
        <v>3.581866666666667</v>
      </c>
    </row>
    <row r="25" spans="1:19" x14ac:dyDescent="0.35">
      <c r="A25" s="44"/>
      <c r="B25" s="55" t="s">
        <v>28</v>
      </c>
      <c r="C25" s="45"/>
      <c r="D25" s="45"/>
      <c r="E25" s="45"/>
      <c r="F25" s="45"/>
      <c r="G25" s="45"/>
      <c r="H25" s="46">
        <v>2E-3</v>
      </c>
      <c r="I25" s="47">
        <f>H25*30</f>
        <v>0.06</v>
      </c>
      <c r="J25" s="48">
        <f>I25*12</f>
        <v>0.72</v>
      </c>
      <c r="K25" s="49">
        <v>200</v>
      </c>
      <c r="L25" s="39">
        <f>SUM($J25*K25)</f>
        <v>144</v>
      </c>
      <c r="M25" s="43">
        <f t="shared" si="7"/>
        <v>4.8</v>
      </c>
    </row>
    <row r="26" spans="1:19" x14ac:dyDescent="0.35">
      <c r="A26" s="44"/>
      <c r="B26" s="56" t="s">
        <v>35</v>
      </c>
      <c r="C26" s="57">
        <f>INDEX(Seadistused!$A$3:$T$70,MATCH(M1,Seadistused!$A$3:$A$70,1),17)</f>
        <v>1</v>
      </c>
      <c r="D26" s="57">
        <f>INDEX(Seadistused!$A$3:$T$70,MATCH(M1,Seadistused!$A$3:$A$70,1),18)</f>
        <v>2</v>
      </c>
      <c r="E26" s="57">
        <f>INDEX(Seadistused!$A$3:$T$70,MATCH(M1,Seadistused!$A$3:$A$70,1),19)</f>
        <v>10</v>
      </c>
      <c r="F26" s="57">
        <f>INDEX(Seadistused!$A$3:$T$70,MATCH(M1,Seadistused!$A$3:$A$70,1),20)</f>
        <v>15</v>
      </c>
      <c r="G26" s="57"/>
      <c r="H26" s="39">
        <f>SUM(C26*$C$18)+SUM(D26*$D$18)+SUM(E26*$E$18)+SUM(F26*$F$18)</f>
        <v>0.21439999999999998</v>
      </c>
      <c r="I26" s="47">
        <f>H26*30</f>
        <v>6.4319999999999995</v>
      </c>
      <c r="J26" s="48">
        <f>I26*12</f>
        <v>77.183999999999997</v>
      </c>
      <c r="K26" s="58">
        <v>4</v>
      </c>
      <c r="L26" s="39">
        <f>SUM($J26*K26)</f>
        <v>308.73599999999999</v>
      </c>
      <c r="M26" s="43">
        <f t="shared" si="7"/>
        <v>10.2912</v>
      </c>
    </row>
    <row r="27" spans="1:19" x14ac:dyDescent="0.35">
      <c r="A27" s="52"/>
      <c r="B27" s="52"/>
      <c r="C27" s="12">
        <f>SUMPRODUCT(C19:C26,$K19:$K26)</f>
        <v>26</v>
      </c>
      <c r="D27" s="12">
        <f>SUMPRODUCT(D19:D26,$K19:$K26)</f>
        <v>48</v>
      </c>
      <c r="E27" s="12">
        <f>SUMPRODUCT(E19:E26,$K19:$K26)</f>
        <v>185</v>
      </c>
      <c r="F27" s="12">
        <f>SUMPRODUCT(F19:F26,$K19:$K26)</f>
        <v>359</v>
      </c>
      <c r="G27" s="52"/>
      <c r="H27" s="14">
        <f>SUMPRODUCT(H19:H26,$K19:$K26)</f>
        <v>5.5103999999999997</v>
      </c>
      <c r="I27" s="14">
        <f>SUMPRODUCT(I19:I26,$K19:$K26)</f>
        <v>165.31200000000001</v>
      </c>
      <c r="J27" s="14">
        <f>SUMPRODUCT(J19:J26,$K19:$K26)</f>
        <v>2005.0079999999998</v>
      </c>
      <c r="K27" s="5"/>
      <c r="L27" s="14">
        <f>SUM(L19:L26)</f>
        <v>2005.0079999999998</v>
      </c>
      <c r="M27" s="14">
        <f>SUM(M19:M26)</f>
        <v>66.833600000000004</v>
      </c>
    </row>
    <row r="28" spans="1:19" x14ac:dyDescent="0.35">
      <c r="A28" s="52"/>
      <c r="B28" s="59" t="s">
        <v>36</v>
      </c>
      <c r="C28" s="52">
        <v>1.18</v>
      </c>
      <c r="D28" s="52"/>
      <c r="E28" s="52"/>
      <c r="F28" s="59" t="s">
        <v>37</v>
      </c>
      <c r="G28" s="52">
        <v>12.8</v>
      </c>
      <c r="H28" s="40"/>
      <c r="I28" s="40"/>
      <c r="J28" s="40"/>
      <c r="K28" s="5"/>
      <c r="L28" s="14"/>
      <c r="M28" s="14"/>
    </row>
    <row r="29" spans="1:19" x14ac:dyDescent="0.35">
      <c r="A29" s="19" t="s">
        <v>38</v>
      </c>
      <c r="B29" s="19" t="s">
        <v>30</v>
      </c>
      <c r="C29" s="19">
        <v>7.1999999999999995E-2</v>
      </c>
      <c r="D29" s="19">
        <v>3.1199999999999999E-2</v>
      </c>
      <c r="E29" s="19">
        <v>3.2000000000000002E-3</v>
      </c>
      <c r="F29" s="19">
        <v>3.2000000000000002E-3</v>
      </c>
      <c r="G29" s="19"/>
      <c r="H29" s="60" t="s">
        <v>39</v>
      </c>
      <c r="I29" s="61">
        <v>1.18</v>
      </c>
      <c r="J29" s="40"/>
      <c r="K29" s="5"/>
      <c r="L29" s="40"/>
      <c r="M29" s="40"/>
    </row>
    <row r="30" spans="1:19" x14ac:dyDescent="0.35">
      <c r="A30" s="26"/>
      <c r="B30" s="62" t="s">
        <v>18</v>
      </c>
      <c r="C30" s="28">
        <v>1</v>
      </c>
      <c r="D30" s="28">
        <v>1</v>
      </c>
      <c r="E30" s="28">
        <v>10</v>
      </c>
      <c r="F30" s="28"/>
      <c r="G30" s="28"/>
      <c r="H30" s="30">
        <f t="shared" ref="H30:H36" si="8">SUM(C30*$C$29)+SUM(D30*$D$29)+SUM(E30*$E$29)+SUM(F30*$F$29)</f>
        <v>0.13519999999999999</v>
      </c>
      <c r="I30" s="31">
        <f t="shared" ref="I30:I36" si="9">SUM(H30*30)</f>
        <v>4.0559999999999992</v>
      </c>
      <c r="J30" s="32">
        <f t="shared" ref="J30:J36" si="10">SUM(H30*365)</f>
        <v>49.347999999999992</v>
      </c>
      <c r="K30" s="33">
        <v>1</v>
      </c>
      <c r="L30" s="30">
        <f>SUM($J$30*K30)</f>
        <v>49.347999999999992</v>
      </c>
      <c r="M30" s="34">
        <f t="shared" ref="M30:M38" si="11">SUM(L30/$M$1)</f>
        <v>1.6449333333333331</v>
      </c>
    </row>
    <row r="31" spans="1:19" x14ac:dyDescent="0.35">
      <c r="A31" s="36"/>
      <c r="B31" s="54" t="s">
        <v>31</v>
      </c>
      <c r="C31" s="38">
        <v>4</v>
      </c>
      <c r="D31" s="38">
        <v>8</v>
      </c>
      <c r="E31" s="38"/>
      <c r="F31" s="38">
        <v>140</v>
      </c>
      <c r="G31" s="38" t="s">
        <v>32</v>
      </c>
      <c r="H31" s="39">
        <f t="shared" si="8"/>
        <v>0.98560000000000003</v>
      </c>
      <c r="I31" s="40">
        <f t="shared" si="9"/>
        <v>29.568000000000001</v>
      </c>
      <c r="J31" s="41">
        <f t="shared" si="10"/>
        <v>359.74400000000003</v>
      </c>
      <c r="K31" s="42">
        <v>1</v>
      </c>
      <c r="L31" s="39">
        <f>SUM($J$31*K31)</f>
        <v>359.74400000000003</v>
      </c>
      <c r="M31" s="43">
        <f t="shared" si="11"/>
        <v>11.991466666666668</v>
      </c>
      <c r="Q31" s="63"/>
      <c r="R31" s="63"/>
      <c r="S31" s="63"/>
    </row>
    <row r="32" spans="1:19" x14ac:dyDescent="0.35">
      <c r="A32" s="36"/>
      <c r="B32" s="54" t="s">
        <v>33</v>
      </c>
      <c r="C32" s="38">
        <v>8</v>
      </c>
      <c r="D32" s="64">
        <v>16</v>
      </c>
      <c r="E32" s="38">
        <v>40</v>
      </c>
      <c r="F32" s="38"/>
      <c r="G32" s="38" t="s">
        <v>32</v>
      </c>
      <c r="H32" s="39">
        <f t="shared" si="8"/>
        <v>1.2031999999999998</v>
      </c>
      <c r="I32" s="40">
        <f t="shared" si="9"/>
        <v>36.095999999999997</v>
      </c>
      <c r="J32" s="41">
        <f t="shared" si="10"/>
        <v>439.16799999999995</v>
      </c>
      <c r="K32" s="42">
        <f>INDEX(Seadistused!$A$3:$T$70,MATCH(M1,Seadistused!$A$3:$A$70,1),2)</f>
        <v>6</v>
      </c>
      <c r="L32" s="39">
        <f>SUM($J$32*K32)</f>
        <v>2635.0079999999998</v>
      </c>
      <c r="M32" s="43">
        <f t="shared" si="11"/>
        <v>87.83359999999999</v>
      </c>
    </row>
    <row r="33" spans="1:19" x14ac:dyDescent="0.35">
      <c r="A33" s="36"/>
      <c r="B33" s="54" t="s">
        <v>34</v>
      </c>
      <c r="C33" s="38">
        <v>4</v>
      </c>
      <c r="D33" s="38">
        <v>12</v>
      </c>
      <c r="E33" s="38">
        <v>20</v>
      </c>
      <c r="F33" s="38">
        <v>160</v>
      </c>
      <c r="G33" s="38" t="s">
        <v>32</v>
      </c>
      <c r="H33" s="39">
        <f t="shared" si="8"/>
        <v>1.2383999999999999</v>
      </c>
      <c r="I33" s="40">
        <f t="shared" si="9"/>
        <v>37.152000000000001</v>
      </c>
      <c r="J33" s="41">
        <f t="shared" si="10"/>
        <v>452.01599999999996</v>
      </c>
      <c r="K33" s="42">
        <f>INDEX(Seadistused!$A$3:$T$70,MATCH(M1,Seadistused!$A$3:$A$70,1),3)</f>
        <v>5</v>
      </c>
      <c r="L33" s="39">
        <f>SUM($J$33*K33)</f>
        <v>2260.08</v>
      </c>
      <c r="M33" s="43">
        <f t="shared" si="11"/>
        <v>75.335999999999999</v>
      </c>
    </row>
    <row r="34" spans="1:19" x14ac:dyDescent="0.35">
      <c r="A34" s="36"/>
      <c r="B34" s="54" t="s">
        <v>23</v>
      </c>
      <c r="C34" s="38">
        <v>2</v>
      </c>
      <c r="D34" s="38">
        <v>2</v>
      </c>
      <c r="E34" s="38">
        <v>10</v>
      </c>
      <c r="F34" s="38"/>
      <c r="G34" s="38"/>
      <c r="H34" s="39">
        <f t="shared" si="8"/>
        <v>0.23839999999999997</v>
      </c>
      <c r="I34" s="40">
        <f t="shared" si="9"/>
        <v>7.1519999999999992</v>
      </c>
      <c r="J34" s="41">
        <f t="shared" si="10"/>
        <v>87.015999999999991</v>
      </c>
      <c r="K34" s="42">
        <v>1</v>
      </c>
      <c r="L34" s="39">
        <f>SUM($J$34*K34)</f>
        <v>87.015999999999991</v>
      </c>
      <c r="M34" s="43">
        <f t="shared" si="11"/>
        <v>2.9005333333333332</v>
      </c>
      <c r="Q34" s="63"/>
      <c r="R34" s="63"/>
      <c r="S34" s="63"/>
    </row>
    <row r="35" spans="1:19" x14ac:dyDescent="0.35">
      <c r="A35" s="36"/>
      <c r="B35" s="54" t="s">
        <v>40</v>
      </c>
      <c r="C35" s="38">
        <v>2</v>
      </c>
      <c r="D35" s="38">
        <v>2</v>
      </c>
      <c r="E35" s="38">
        <v>64</v>
      </c>
      <c r="F35" s="38"/>
      <c r="G35" s="38"/>
      <c r="H35" s="39">
        <f t="shared" si="8"/>
        <v>0.41120000000000001</v>
      </c>
      <c r="I35" s="40">
        <f t="shared" si="9"/>
        <v>12.336</v>
      </c>
      <c r="J35" s="41">
        <f t="shared" si="10"/>
        <v>150.08799999999999</v>
      </c>
      <c r="K35" s="42">
        <v>1</v>
      </c>
      <c r="L35" s="39">
        <f>SUM($J35*K35)</f>
        <v>150.08799999999999</v>
      </c>
      <c r="M35" s="43">
        <f t="shared" si="11"/>
        <v>5.002933333333333</v>
      </c>
    </row>
    <row r="36" spans="1:19" x14ac:dyDescent="0.35">
      <c r="A36" s="36"/>
      <c r="B36" s="38" t="s">
        <v>27</v>
      </c>
      <c r="C36" s="38">
        <v>2</v>
      </c>
      <c r="D36" s="38">
        <v>10</v>
      </c>
      <c r="E36" s="38">
        <v>48</v>
      </c>
      <c r="F36" s="38"/>
      <c r="G36" s="38"/>
      <c r="H36" s="39">
        <f t="shared" si="8"/>
        <v>0.60959999999999992</v>
      </c>
      <c r="I36" s="40">
        <f t="shared" si="9"/>
        <v>18.287999999999997</v>
      </c>
      <c r="J36" s="41">
        <f t="shared" si="10"/>
        <v>222.50399999999996</v>
      </c>
      <c r="K36" s="42">
        <v>1</v>
      </c>
      <c r="L36" s="39">
        <f>SUM($J36*K36)</f>
        <v>222.50399999999996</v>
      </c>
      <c r="M36" s="43">
        <f t="shared" si="11"/>
        <v>7.4167999999999985</v>
      </c>
    </row>
    <row r="37" spans="1:19" x14ac:dyDescent="0.35">
      <c r="A37" s="44"/>
      <c r="B37" s="55" t="s">
        <v>28</v>
      </c>
      <c r="C37" s="45"/>
      <c r="D37" s="45"/>
      <c r="E37" s="45"/>
      <c r="F37" s="45"/>
      <c r="G37" s="45"/>
      <c r="H37" s="46">
        <v>2E-3</v>
      </c>
      <c r="I37" s="47">
        <f>H37*30</f>
        <v>0.06</v>
      </c>
      <c r="J37" s="48">
        <f>I37*12</f>
        <v>0.72</v>
      </c>
      <c r="K37" s="49">
        <f>800*INDEX(Seadistused!$A$3:$T$70,MATCH(M1,Seadistused!$A$3:$A$70,1),8)</f>
        <v>960</v>
      </c>
      <c r="L37" s="50">
        <f>SUM($J37*K37)</f>
        <v>691.19999999999993</v>
      </c>
      <c r="M37" s="51">
        <f t="shared" si="11"/>
        <v>23.04</v>
      </c>
    </row>
    <row r="38" spans="1:19" x14ac:dyDescent="0.35">
      <c r="A38" s="65"/>
      <c r="B38" s="56" t="s">
        <v>35</v>
      </c>
      <c r="C38" s="57">
        <f>INDEX(Seadistused!$A$3:$T$70,MATCH(M1,Seadistused!$A$3:$A$70,1),9)</f>
        <v>1.5</v>
      </c>
      <c r="D38" s="57">
        <f>INDEX(Seadistused!$A$3:$T$70,MATCH(M1,Seadistused!$A$3:$A$70,1),10)</f>
        <v>3</v>
      </c>
      <c r="E38" s="57">
        <f>INDEX(Seadistused!$A$3:$T$70,MATCH(M1,Seadistused!$A$3:$A$70,1),11)</f>
        <v>10</v>
      </c>
      <c r="F38" s="57">
        <f>INDEX(Seadistused!$A$3:$T$70,MATCH(M1,Seadistused!$A$3:$A$70,1),12)</f>
        <v>20</v>
      </c>
      <c r="G38" s="57"/>
      <c r="H38" s="46">
        <f>SUM(C38*$C$29)+SUM(D38*$D$29)+SUM(E38*$E$29)+SUM(F38*$F$29)</f>
        <v>0.29759999999999998</v>
      </c>
      <c r="I38" s="47">
        <f>H38*30</f>
        <v>8.927999999999999</v>
      </c>
      <c r="J38" s="48">
        <f>I38*12</f>
        <v>107.136</v>
      </c>
      <c r="K38" s="58">
        <v>4</v>
      </c>
      <c r="L38" s="50">
        <f>SUM($J38*K38)</f>
        <v>428.54399999999998</v>
      </c>
      <c r="M38" s="51">
        <f t="shared" si="11"/>
        <v>14.284799999999999</v>
      </c>
    </row>
    <row r="39" spans="1:19" x14ac:dyDescent="0.35">
      <c r="A39" s="52"/>
      <c r="B39" s="52"/>
      <c r="C39" s="12">
        <f>SUMPRODUCT(C30:C38,$K30:$K38)</f>
        <v>85</v>
      </c>
      <c r="D39" s="12">
        <f>SUMPRODUCT(D30:D38,$K30:$K38)</f>
        <v>191</v>
      </c>
      <c r="E39" s="12">
        <f>SUMPRODUCT(E30:E38,$K30:$K38)</f>
        <v>512</v>
      </c>
      <c r="F39" s="12">
        <f>SUMPRODUCT(F30:F38,$K30:$K38)</f>
        <v>1020</v>
      </c>
      <c r="G39" s="52"/>
      <c r="H39" s="14">
        <f>SUMPRODUCT(H30:H38,$K30:$K38)</f>
        <v>18.901599999999998</v>
      </c>
      <c r="I39" s="14">
        <f>SUMPRODUCT(I30:I38,$K30:$K38)</f>
        <v>567.04799999999989</v>
      </c>
      <c r="J39" s="14">
        <f>SUMPRODUCT(J30:J38,$K30:$K38)</f>
        <v>6883.5319999999992</v>
      </c>
      <c r="K39" s="5"/>
      <c r="L39" s="14">
        <f>SUM(L30:L38)</f>
        <v>6883.5319999999992</v>
      </c>
      <c r="M39" s="14">
        <f>SUM(M30:M38)</f>
        <v>229.45106666666663</v>
      </c>
    </row>
    <row r="40" spans="1:19" x14ac:dyDescent="0.35">
      <c r="A40" s="52"/>
      <c r="B40" s="59" t="s">
        <v>36</v>
      </c>
      <c r="C40" s="52">
        <v>5.20648</v>
      </c>
      <c r="D40" s="52"/>
      <c r="E40" s="52"/>
      <c r="F40" s="59" t="s">
        <v>37</v>
      </c>
      <c r="G40" s="52">
        <v>25.282599999999999</v>
      </c>
      <c r="H40" s="14"/>
      <c r="I40" s="40"/>
      <c r="J40" s="40"/>
      <c r="K40" s="5"/>
      <c r="L40" s="14"/>
      <c r="M40" s="14"/>
    </row>
    <row r="41" spans="1:19" x14ac:dyDescent="0.35">
      <c r="A41" s="19" t="s">
        <v>41</v>
      </c>
      <c r="B41" s="19" t="s">
        <v>17</v>
      </c>
      <c r="C41" s="19">
        <v>0.1</v>
      </c>
      <c r="D41" s="19">
        <v>0.1</v>
      </c>
      <c r="E41" s="19">
        <v>3.0000000000000001E-3</v>
      </c>
      <c r="F41" s="19">
        <v>8.0000000000000002E-3</v>
      </c>
      <c r="G41" s="19"/>
      <c r="H41" s="40"/>
      <c r="I41" s="40"/>
      <c r="J41" s="40"/>
      <c r="K41" s="5"/>
      <c r="L41" s="40"/>
      <c r="M41" s="40"/>
    </row>
    <row r="42" spans="1:19" x14ac:dyDescent="0.35">
      <c r="A42" s="26"/>
      <c r="B42" s="66" t="s">
        <v>18</v>
      </c>
      <c r="C42" s="38">
        <v>2</v>
      </c>
      <c r="D42" s="38">
        <v>2</v>
      </c>
      <c r="E42" s="38">
        <v>10</v>
      </c>
      <c r="F42" s="38"/>
      <c r="G42" s="38"/>
      <c r="H42" s="30">
        <f t="shared" ref="H42:H49" si="12">SUM(C42*$C$41)+SUM(D42*$D$41)+SUM(E42*$E$41)+SUM(F42*$F$41)</f>
        <v>0.43000000000000005</v>
      </c>
      <c r="I42" s="31">
        <f t="shared" ref="I42:I49" si="13">SUM(H42*30)</f>
        <v>12.900000000000002</v>
      </c>
      <c r="J42" s="32">
        <f t="shared" ref="J42:J49" si="14">SUM(H42*365)</f>
        <v>156.95000000000002</v>
      </c>
      <c r="K42" s="33">
        <v>1</v>
      </c>
      <c r="L42" s="30">
        <f t="shared" ref="L42:L51" si="15">SUM($J42*K42)</f>
        <v>156.95000000000002</v>
      </c>
      <c r="M42" s="34">
        <f t="shared" ref="M42:M51" si="16">SUM(L42/$M$1)</f>
        <v>5.2316666666666674</v>
      </c>
    </row>
    <row r="43" spans="1:19" x14ac:dyDescent="0.35">
      <c r="A43" s="64"/>
      <c r="B43" s="67" t="s">
        <v>19</v>
      </c>
      <c r="C43" s="38">
        <v>1</v>
      </c>
      <c r="D43" s="38">
        <v>0.5</v>
      </c>
      <c r="E43" s="38">
        <v>10</v>
      </c>
      <c r="F43" s="38"/>
      <c r="G43" s="38"/>
      <c r="H43" s="30">
        <f t="shared" si="12"/>
        <v>0.18000000000000002</v>
      </c>
      <c r="I43" s="31">
        <f t="shared" si="13"/>
        <v>5.4</v>
      </c>
      <c r="J43" s="32">
        <f t="shared" si="14"/>
        <v>65.7</v>
      </c>
      <c r="K43" s="33">
        <v>1</v>
      </c>
      <c r="L43" s="30">
        <f t="shared" si="15"/>
        <v>65.7</v>
      </c>
      <c r="M43" s="34">
        <f t="shared" si="16"/>
        <v>2.19</v>
      </c>
    </row>
    <row r="44" spans="1:19" x14ac:dyDescent="0.35">
      <c r="A44" s="36"/>
      <c r="B44" s="54" t="s">
        <v>31</v>
      </c>
      <c r="C44" s="38">
        <v>4</v>
      </c>
      <c r="D44" s="38">
        <v>8</v>
      </c>
      <c r="E44" s="38">
        <v>37.299999999999997</v>
      </c>
      <c r="F44" s="38">
        <v>50</v>
      </c>
      <c r="G44" s="38"/>
      <c r="H44" s="39">
        <f t="shared" si="12"/>
        <v>1.7119</v>
      </c>
      <c r="I44" s="40">
        <f t="shared" si="13"/>
        <v>51.356999999999999</v>
      </c>
      <c r="J44" s="41">
        <f t="shared" si="14"/>
        <v>624.84349999999995</v>
      </c>
      <c r="K44" s="42">
        <v>3</v>
      </c>
      <c r="L44" s="30">
        <f t="shared" si="15"/>
        <v>1874.5304999999998</v>
      </c>
      <c r="M44" s="43">
        <f t="shared" si="16"/>
        <v>62.484349999999992</v>
      </c>
    </row>
    <row r="45" spans="1:19" x14ac:dyDescent="0.35">
      <c r="A45" s="36"/>
      <c r="B45" s="54" t="s">
        <v>33</v>
      </c>
      <c r="C45" s="38">
        <v>32</v>
      </c>
      <c r="D45" s="64">
        <v>64</v>
      </c>
      <c r="E45" s="38">
        <v>0</v>
      </c>
      <c r="F45" s="38">
        <v>100</v>
      </c>
      <c r="G45" s="38"/>
      <c r="H45" s="39">
        <f t="shared" si="12"/>
        <v>10.400000000000002</v>
      </c>
      <c r="I45" s="40">
        <f t="shared" si="13"/>
        <v>312.00000000000006</v>
      </c>
      <c r="J45" s="41">
        <f t="shared" si="14"/>
        <v>3796.0000000000009</v>
      </c>
      <c r="K45" s="42">
        <f>INDEX(Seadistused!$A$3:$T$70,MATCH(M1,Seadistused!$A$3:$A$70,1),4)</f>
        <v>7</v>
      </c>
      <c r="L45" s="30">
        <f t="shared" si="15"/>
        <v>26572.000000000007</v>
      </c>
      <c r="M45" s="43">
        <f t="shared" si="16"/>
        <v>885.73333333333358</v>
      </c>
    </row>
    <row r="46" spans="1:19" x14ac:dyDescent="0.35">
      <c r="A46" s="36"/>
      <c r="B46" s="54" t="s">
        <v>34</v>
      </c>
      <c r="C46" s="38">
        <v>4</v>
      </c>
      <c r="D46" s="38">
        <v>8</v>
      </c>
      <c r="E46" s="38">
        <v>0</v>
      </c>
      <c r="F46" s="38">
        <v>240</v>
      </c>
      <c r="G46" s="38"/>
      <c r="H46" s="39">
        <f t="shared" si="12"/>
        <v>3.12</v>
      </c>
      <c r="I46" s="40">
        <f t="shared" si="13"/>
        <v>93.600000000000009</v>
      </c>
      <c r="J46" s="41">
        <f t="shared" si="14"/>
        <v>1138.8</v>
      </c>
      <c r="K46" s="42">
        <f>INDEX(Seadistused!$A$3:$T$70,MATCH(M1,Seadistused!$A$3:$A$70,1),5)</f>
        <v>10</v>
      </c>
      <c r="L46" s="30">
        <f t="shared" si="15"/>
        <v>11388</v>
      </c>
      <c r="M46" s="43">
        <f t="shared" si="16"/>
        <v>379.6</v>
      </c>
      <c r="Q46" s="63"/>
      <c r="R46" s="63"/>
      <c r="S46" s="63"/>
    </row>
    <row r="47" spans="1:19" x14ac:dyDescent="0.35">
      <c r="A47" s="36"/>
      <c r="B47" s="54" t="s">
        <v>23</v>
      </c>
      <c r="C47" s="38">
        <v>2</v>
      </c>
      <c r="D47" s="38">
        <v>4</v>
      </c>
      <c r="E47" s="38">
        <v>10</v>
      </c>
      <c r="F47" s="38"/>
      <c r="G47" s="38"/>
      <c r="H47" s="39">
        <f t="shared" si="12"/>
        <v>0.63000000000000012</v>
      </c>
      <c r="I47" s="40">
        <f t="shared" si="13"/>
        <v>18.900000000000002</v>
      </c>
      <c r="J47" s="41">
        <f t="shared" si="14"/>
        <v>229.95000000000005</v>
      </c>
      <c r="K47" s="42">
        <v>1</v>
      </c>
      <c r="L47" s="30">
        <f t="shared" si="15"/>
        <v>229.95000000000005</v>
      </c>
      <c r="M47" s="43">
        <f t="shared" si="16"/>
        <v>7.6650000000000018</v>
      </c>
    </row>
    <row r="48" spans="1:19" x14ac:dyDescent="0.35">
      <c r="A48" s="36"/>
      <c r="B48" s="54" t="s">
        <v>40</v>
      </c>
      <c r="C48" s="38">
        <v>2</v>
      </c>
      <c r="D48" s="38">
        <v>8</v>
      </c>
      <c r="E48" s="38">
        <v>60</v>
      </c>
      <c r="F48" s="38"/>
      <c r="G48" s="38"/>
      <c r="H48" s="39">
        <f t="shared" si="12"/>
        <v>1.18</v>
      </c>
      <c r="I48" s="40">
        <f t="shared" si="13"/>
        <v>35.4</v>
      </c>
      <c r="J48" s="41">
        <f t="shared" si="14"/>
        <v>430.7</v>
      </c>
      <c r="K48" s="42">
        <v>1</v>
      </c>
      <c r="L48" s="30">
        <f t="shared" si="15"/>
        <v>430.7</v>
      </c>
      <c r="M48" s="43">
        <f t="shared" si="16"/>
        <v>14.356666666666666</v>
      </c>
    </row>
    <row r="49" spans="1:19" x14ac:dyDescent="0.35">
      <c r="A49" s="36"/>
      <c r="B49" s="38" t="s">
        <v>27</v>
      </c>
      <c r="C49" s="38">
        <v>5</v>
      </c>
      <c r="D49" s="38">
        <v>9.5</v>
      </c>
      <c r="E49" s="38">
        <v>22</v>
      </c>
      <c r="F49" s="37">
        <v>40</v>
      </c>
      <c r="G49" s="38"/>
      <c r="H49" s="39">
        <f t="shared" si="12"/>
        <v>1.8360000000000003</v>
      </c>
      <c r="I49" s="40">
        <f t="shared" si="13"/>
        <v>55.080000000000013</v>
      </c>
      <c r="J49" s="41">
        <f t="shared" si="14"/>
        <v>670.1400000000001</v>
      </c>
      <c r="K49" s="42">
        <v>1</v>
      </c>
      <c r="L49" s="30">
        <f t="shared" si="15"/>
        <v>670.1400000000001</v>
      </c>
      <c r="M49" s="43">
        <f t="shared" si="16"/>
        <v>22.338000000000005</v>
      </c>
      <c r="Q49" s="63"/>
      <c r="R49" s="63"/>
      <c r="S49" s="63"/>
    </row>
    <row r="50" spans="1:19" x14ac:dyDescent="0.35">
      <c r="A50" s="44"/>
      <c r="B50" s="55" t="s">
        <v>28</v>
      </c>
      <c r="C50" s="45"/>
      <c r="D50" s="45"/>
      <c r="E50" s="45"/>
      <c r="F50" s="45"/>
      <c r="G50" s="45"/>
      <c r="H50" s="46">
        <v>2E-3</v>
      </c>
      <c r="I50" s="47">
        <f>H50*30</f>
        <v>0.06</v>
      </c>
      <c r="J50" s="48">
        <f>I50*12</f>
        <v>0.72</v>
      </c>
      <c r="K50" s="49">
        <f>1600*INDEX(Seadistused!$A$3:$T$70,MATCH(M1,Seadistused!$A$3:$A$70,1),8)</f>
        <v>1920</v>
      </c>
      <c r="L50" s="30">
        <f t="shared" si="15"/>
        <v>1382.3999999999999</v>
      </c>
      <c r="M50" s="51">
        <f t="shared" si="16"/>
        <v>46.08</v>
      </c>
    </row>
    <row r="51" spans="1:19" x14ac:dyDescent="0.35">
      <c r="A51" s="65"/>
      <c r="B51" s="56" t="s">
        <v>35</v>
      </c>
      <c r="C51" s="57">
        <f>INDEX(Seadistused!$A$3:$T$70,MATCH(M1,Seadistused!$A$3:$A$70,1),13)</f>
        <v>2.5</v>
      </c>
      <c r="D51" s="57">
        <f>INDEX(Seadistused!$A$3:$T$70,MATCH(M1,Seadistused!$A$3:$A$70,1),14)</f>
        <v>4</v>
      </c>
      <c r="E51" s="57">
        <f>INDEX(Seadistused!$A$3:$T$70,MATCH(M1,Seadistused!$A$3:$A$70,1),15)</f>
        <v>10</v>
      </c>
      <c r="F51" s="57">
        <f>INDEX(Seadistused!$A$3:$T$70,MATCH(M1,Seadistused!$A$3:$A$70,1),16)</f>
        <v>30</v>
      </c>
      <c r="G51" s="57"/>
      <c r="H51" s="46">
        <f>SUM(C51*$C$41)+SUM(D51*$D$41)+SUM(E51*$E$41)+SUM(F51*$F$41)</f>
        <v>0.92</v>
      </c>
      <c r="I51" s="47">
        <f>H51*30</f>
        <v>27.6</v>
      </c>
      <c r="J51" s="48">
        <f>I51*12</f>
        <v>331.20000000000005</v>
      </c>
      <c r="K51" s="58">
        <v>4</v>
      </c>
      <c r="L51" s="30">
        <f t="shared" si="15"/>
        <v>1324.8000000000002</v>
      </c>
      <c r="M51" s="51">
        <f t="shared" si="16"/>
        <v>44.160000000000004</v>
      </c>
    </row>
    <row r="52" spans="1:19" x14ac:dyDescent="0.35">
      <c r="C52" s="68">
        <f>SUMPRODUCT(C42:C51,$K42:$K51)</f>
        <v>298</v>
      </c>
      <c r="D52" s="68">
        <f>SUMPRODUCT(D42:D51,$K42:$K51)</f>
        <v>592</v>
      </c>
      <c r="E52" s="68">
        <f>SUMPRODUCT(E42:E51,$K42:$K51)</f>
        <v>263.89999999999998</v>
      </c>
      <c r="F52" s="68">
        <f>SUMPRODUCT(F42:F51,$K42:$K51)</f>
        <v>3410</v>
      </c>
      <c r="H52" s="14">
        <f>SUMPRODUCT(H42:H51,$K42:$K51)</f>
        <v>120.91170000000002</v>
      </c>
      <c r="I52" s="14">
        <f>SUMPRODUCT(I42:I51,$K42:$K51)</f>
        <v>3627.3510000000006</v>
      </c>
      <c r="J52" s="14">
        <f>SUMPRODUCT(J42:J51,$K42:$K51)</f>
        <v>44095.1705</v>
      </c>
      <c r="L52" s="69">
        <f>SUM(L42:L51)</f>
        <v>44095.1705</v>
      </c>
      <c r="M52" s="69">
        <f>SUM(M42:M51)</f>
        <v>1469.8390166666668</v>
      </c>
    </row>
    <row r="53" spans="1:19" x14ac:dyDescent="0.35">
      <c r="L53" s="69"/>
      <c r="M53" s="69"/>
    </row>
    <row r="54" spans="1:19" x14ac:dyDescent="0.35">
      <c r="A54" s="10" t="s">
        <v>42</v>
      </c>
      <c r="B54" s="70" t="s">
        <v>43</v>
      </c>
      <c r="C54" s="70"/>
      <c r="D54" s="70"/>
      <c r="E54" s="70"/>
      <c r="F54" s="70"/>
      <c r="G54" s="70"/>
      <c r="H54" s="30"/>
      <c r="I54" s="31">
        <f>SUM(J54/12)</f>
        <v>6137.7791666666672</v>
      </c>
      <c r="J54" s="106">
        <v>73653.350000000006</v>
      </c>
      <c r="K54" s="105">
        <v>2</v>
      </c>
      <c r="L54" s="71">
        <f>J54*K54</f>
        <v>147306.70000000001</v>
      </c>
      <c r="M54" s="72">
        <f>SUM(L54/$M$1)</f>
        <v>4910.2233333333334</v>
      </c>
      <c r="O54" s="2"/>
      <c r="P54" s="2"/>
      <c r="Q54" s="2"/>
    </row>
    <row r="55" spans="1:19" x14ac:dyDescent="0.35">
      <c r="A55" s="73"/>
      <c r="B55" s="74" t="s">
        <v>44</v>
      </c>
      <c r="C55" s="74"/>
      <c r="D55" s="74"/>
      <c r="E55" s="74"/>
      <c r="F55" s="74"/>
      <c r="G55" s="74"/>
      <c r="H55" s="50"/>
      <c r="I55" s="47">
        <f>J55/12</f>
        <v>4989.6283333333331</v>
      </c>
      <c r="J55" s="107">
        <v>59875.54</v>
      </c>
      <c r="K55" s="105">
        <v>1</v>
      </c>
      <c r="L55" s="75">
        <f>J55*K55</f>
        <v>59875.54</v>
      </c>
      <c r="M55" s="76">
        <f>SUM(L55/$M$1)</f>
        <v>1995.8513333333333</v>
      </c>
      <c r="O55" s="2"/>
      <c r="P55" s="2"/>
    </row>
    <row r="56" spans="1:19" x14ac:dyDescent="0.35">
      <c r="L56" s="69">
        <f>SUM(L54:L55)</f>
        <v>207182.24000000002</v>
      </c>
      <c r="M56" s="69">
        <f>SUM(M54:M55)</f>
        <v>6906.0746666666664</v>
      </c>
      <c r="P56" s="2"/>
    </row>
    <row r="58" spans="1:19" x14ac:dyDescent="0.35">
      <c r="K58" s="77" t="s">
        <v>45</v>
      </c>
      <c r="L58" s="69">
        <f>SUM(L16+L27+L39+L52)</f>
        <v>59544.443500000001</v>
      </c>
      <c r="M58" s="69">
        <f>SUM(M16+M27+M39+M52)</f>
        <v>1984.8147833333335</v>
      </c>
    </row>
    <row r="59" spans="1:19" x14ac:dyDescent="0.35">
      <c r="K59" s="78" t="s">
        <v>46</v>
      </c>
      <c r="L59" s="63">
        <v>12</v>
      </c>
      <c r="M59" s="63">
        <v>12</v>
      </c>
    </row>
    <row r="60" spans="1:19" x14ac:dyDescent="0.35">
      <c r="J60" s="108"/>
      <c r="K60" s="109" t="s">
        <v>47</v>
      </c>
      <c r="L60" s="108">
        <f>SUM(L58/12)</f>
        <v>4962.0369583333331</v>
      </c>
      <c r="M60" s="108">
        <f>SUM(M58/12)</f>
        <v>165.40123194444445</v>
      </c>
    </row>
    <row r="61" spans="1:19" x14ac:dyDescent="0.35">
      <c r="J61" s="108"/>
      <c r="K61" s="109" t="s">
        <v>48</v>
      </c>
      <c r="L61" s="108">
        <f>SUM(L56/12)</f>
        <v>17265.186666666668</v>
      </c>
      <c r="M61" s="108">
        <f>SUM(M56/12)</f>
        <v>575.50622222222216</v>
      </c>
    </row>
    <row r="62" spans="1:19" x14ac:dyDescent="0.35">
      <c r="K62" s="77" t="s">
        <v>49</v>
      </c>
      <c r="L62" s="69">
        <f>SUM(L60:L61)</f>
        <v>22227.223625000002</v>
      </c>
      <c r="M62" s="69">
        <f>SUM(M60:M61)</f>
        <v>740.90745416666664</v>
      </c>
    </row>
    <row r="64" spans="1:19" x14ac:dyDescent="0.35">
      <c r="K64" s="78" t="s">
        <v>46</v>
      </c>
      <c r="L64" s="79">
        <v>12</v>
      </c>
      <c r="M64" s="79">
        <v>12</v>
      </c>
    </row>
    <row r="65" spans="11:13" x14ac:dyDescent="0.35">
      <c r="K65" s="78" t="s">
        <v>50</v>
      </c>
      <c r="L65" s="80">
        <f>SUM(L60*L59)</f>
        <v>59544.443499999994</v>
      </c>
      <c r="M65" s="80">
        <f>SUM(M60*M59)</f>
        <v>1984.8147833333333</v>
      </c>
    </row>
    <row r="66" spans="11:13" x14ac:dyDescent="0.35">
      <c r="K66" s="78" t="s">
        <v>51</v>
      </c>
      <c r="L66" s="80">
        <f>SUM(L61*L64)</f>
        <v>207182.24000000002</v>
      </c>
      <c r="M66" s="80">
        <f>SUM(M61*M64)</f>
        <v>6906.0746666666655</v>
      </c>
    </row>
    <row r="67" spans="11:13" x14ac:dyDescent="0.35">
      <c r="K67" s="77" t="s">
        <v>52</v>
      </c>
      <c r="L67" s="69">
        <f>SUM(L65:L66)</f>
        <v>266726.68350000004</v>
      </c>
      <c r="M67" s="69">
        <f>SUM(M65:M66)</f>
        <v>8890.8894499999988</v>
      </c>
    </row>
  </sheetData>
  <mergeCells count="1">
    <mergeCell ref="H3:J3"/>
  </mergeCells>
  <dataValidations count="1">
    <dataValidation type="list" operator="equal" allowBlank="1" showErrorMessage="1" sqref="M1" xr:uid="{00000000-0002-0000-0000-000000000000}">
      <formula1>"1,10,15,20,25,30,35,38,40,45,50"</formula1>
    </dataValidation>
  </dataValidations>
  <pageMargins left="0.7" right="0.7" top="0.75" bottom="0.75" header="0.51180555555555496" footer="0.51180555555555496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zoomScaleNormal="100" workbookViewId="0">
      <pane ySplit="2" topLeftCell="A3" activePane="bottomLeft" state="frozen"/>
      <selection pane="bottomLeft" activeCell="E18" sqref="E18"/>
    </sheetView>
  </sheetViews>
  <sheetFormatPr defaultColWidth="8.7265625" defaultRowHeight="14.5" x14ac:dyDescent="0.35"/>
  <cols>
    <col min="1" max="1" width="14.54296875" style="111" customWidth="1"/>
    <col min="2" max="2" width="15.453125" hidden="1" customWidth="1"/>
    <col min="3" max="3" width="12.26953125" customWidth="1"/>
    <col min="4" max="4" width="13.453125" hidden="1" customWidth="1"/>
    <col min="5" max="5" width="13.6328125" style="81" bestFit="1" customWidth="1"/>
    <col min="6" max="6" width="12.26953125" style="86" customWidth="1"/>
    <col min="7" max="7" width="11.26953125" style="86" bestFit="1" customWidth="1"/>
    <col min="8" max="9" width="13.7265625" style="117" customWidth="1"/>
    <col min="11" max="11" width="45.54296875" style="89" customWidth="1"/>
    <col min="17" max="17" width="9.453125" customWidth="1"/>
  </cols>
  <sheetData>
    <row r="1" spans="1:11" x14ac:dyDescent="0.35">
      <c r="B1" s="82"/>
      <c r="C1" s="87"/>
      <c r="D1" s="87"/>
      <c r="E1" s="83"/>
      <c r="F1" s="84" t="s">
        <v>81</v>
      </c>
      <c r="G1" s="85"/>
      <c r="H1" s="114" t="s">
        <v>82</v>
      </c>
      <c r="I1" s="115"/>
    </row>
    <row r="2" spans="1:11" s="128" customFormat="1" ht="29.5" thickBot="1" x14ac:dyDescent="0.4">
      <c r="A2" s="120" t="s">
        <v>70</v>
      </c>
      <c r="B2" s="121" t="s">
        <v>53</v>
      </c>
      <c r="C2" s="122" t="s">
        <v>83</v>
      </c>
      <c r="D2" s="122" t="s">
        <v>54</v>
      </c>
      <c r="E2" s="123" t="s">
        <v>55</v>
      </c>
      <c r="F2" s="124" t="s">
        <v>56</v>
      </c>
      <c r="G2" s="125" t="s">
        <v>57</v>
      </c>
      <c r="H2" s="126" t="s">
        <v>56</v>
      </c>
      <c r="I2" s="127" t="s">
        <v>57</v>
      </c>
      <c r="K2" s="129"/>
    </row>
    <row r="3" spans="1:11" s="101" customFormat="1" ht="15" thickTop="1" x14ac:dyDescent="0.35">
      <c r="A3" s="112">
        <v>1</v>
      </c>
      <c r="B3" s="110">
        <v>1</v>
      </c>
      <c r="C3" s="98">
        <v>17265.189999999999</v>
      </c>
      <c r="D3" s="98">
        <v>3740.96</v>
      </c>
      <c r="E3" s="100">
        <f>D3*1.2</f>
        <v>4489.152</v>
      </c>
      <c r="F3" s="103">
        <f t="shared" ref="F3:F13" si="0">SUM(C3,E3)</f>
        <v>21754.341999999997</v>
      </c>
      <c r="G3" s="104">
        <f t="shared" ref="G3:G6" si="1">F3*12</f>
        <v>261052.10399999996</v>
      </c>
      <c r="H3" s="116">
        <f t="shared" ref="H3:H13" si="2">F3*B3</f>
        <v>21754.341999999997</v>
      </c>
      <c r="I3" s="116">
        <f t="shared" ref="I3:I13" si="3">G3*B3</f>
        <v>261052.10399999996</v>
      </c>
      <c r="K3" s="118"/>
    </row>
    <row r="4" spans="1:11" s="101" customFormat="1" x14ac:dyDescent="0.35">
      <c r="A4" s="112" t="s">
        <v>71</v>
      </c>
      <c r="B4" s="110">
        <v>10</v>
      </c>
      <c r="C4" s="98">
        <v>1726.52</v>
      </c>
      <c r="D4" s="98">
        <v>374.82</v>
      </c>
      <c r="E4" s="100">
        <f t="shared" ref="E4:E6" si="4">D4*1.2</f>
        <v>449.78399999999999</v>
      </c>
      <c r="F4" s="103">
        <f t="shared" si="0"/>
        <v>2176.3040000000001</v>
      </c>
      <c r="G4" s="104">
        <f t="shared" si="1"/>
        <v>26115.648000000001</v>
      </c>
      <c r="H4" s="116">
        <f t="shared" si="2"/>
        <v>21763.040000000001</v>
      </c>
      <c r="I4" s="116">
        <f t="shared" si="3"/>
        <v>261156.48000000001</v>
      </c>
      <c r="K4" s="118"/>
    </row>
    <row r="5" spans="1:11" s="101" customFormat="1" x14ac:dyDescent="0.35">
      <c r="A5" s="112" t="s">
        <v>72</v>
      </c>
      <c r="B5" s="99">
        <v>15</v>
      </c>
      <c r="C5" s="98">
        <v>1151.01</v>
      </c>
      <c r="D5" s="98">
        <v>250.36</v>
      </c>
      <c r="E5" s="100">
        <f t="shared" si="4"/>
        <v>300.43200000000002</v>
      </c>
      <c r="F5" s="103">
        <f t="shared" si="0"/>
        <v>1451.442</v>
      </c>
      <c r="G5" s="104">
        <f t="shared" si="1"/>
        <v>17417.304</v>
      </c>
      <c r="H5" s="116">
        <f t="shared" si="2"/>
        <v>21771.63</v>
      </c>
      <c r="I5" s="116">
        <f t="shared" si="3"/>
        <v>261259.56</v>
      </c>
      <c r="K5" s="118"/>
    </row>
    <row r="6" spans="1:11" s="101" customFormat="1" x14ac:dyDescent="0.35">
      <c r="A6" s="112" t="s">
        <v>73</v>
      </c>
      <c r="B6" s="99">
        <v>20</v>
      </c>
      <c r="C6" s="98">
        <v>863.26</v>
      </c>
      <c r="D6" s="98">
        <v>187.98</v>
      </c>
      <c r="E6" s="100">
        <f t="shared" si="4"/>
        <v>225.57599999999999</v>
      </c>
      <c r="F6" s="103">
        <f t="shared" si="0"/>
        <v>1088.836</v>
      </c>
      <c r="G6" s="104">
        <f t="shared" si="1"/>
        <v>13066.031999999999</v>
      </c>
      <c r="H6" s="116">
        <f t="shared" si="2"/>
        <v>21776.720000000001</v>
      </c>
      <c r="I6" s="116">
        <f t="shared" si="3"/>
        <v>261320.63999999998</v>
      </c>
      <c r="K6" s="118"/>
    </row>
    <row r="7" spans="1:11" x14ac:dyDescent="0.35">
      <c r="A7" s="113" t="s">
        <v>74</v>
      </c>
      <c r="B7" s="102">
        <v>25</v>
      </c>
      <c r="C7" s="88">
        <v>690.61</v>
      </c>
      <c r="D7" s="88">
        <v>157.38</v>
      </c>
      <c r="E7" s="100">
        <f t="shared" ref="E7:E13" si="5">D7*1.2</f>
        <v>188.85599999999999</v>
      </c>
      <c r="F7" s="103">
        <f t="shared" si="0"/>
        <v>879.46600000000001</v>
      </c>
      <c r="G7" s="104">
        <f t="shared" ref="G7:G13" si="6">F7*12</f>
        <v>10553.592000000001</v>
      </c>
      <c r="H7" s="116">
        <f t="shared" si="2"/>
        <v>21986.65</v>
      </c>
      <c r="I7" s="116">
        <f t="shared" si="3"/>
        <v>263839.8</v>
      </c>
    </row>
    <row r="8" spans="1:11" x14ac:dyDescent="0.35">
      <c r="A8" s="113" t="s">
        <v>75</v>
      </c>
      <c r="B8" s="102">
        <v>30</v>
      </c>
      <c r="C8" s="88">
        <v>575.51</v>
      </c>
      <c r="D8" s="88">
        <v>165.4</v>
      </c>
      <c r="E8" s="100">
        <f t="shared" si="5"/>
        <v>198.48</v>
      </c>
      <c r="F8" s="103">
        <f t="shared" si="0"/>
        <v>773.99</v>
      </c>
      <c r="G8" s="104">
        <f t="shared" si="6"/>
        <v>9287.880000000001</v>
      </c>
      <c r="H8" s="116">
        <f t="shared" si="2"/>
        <v>23219.7</v>
      </c>
      <c r="I8" s="116">
        <f t="shared" si="3"/>
        <v>278636.40000000002</v>
      </c>
    </row>
    <row r="9" spans="1:11" x14ac:dyDescent="0.35">
      <c r="A9" s="113" t="s">
        <v>76</v>
      </c>
      <c r="B9" s="102">
        <v>35</v>
      </c>
      <c r="C9" s="88">
        <v>493.29</v>
      </c>
      <c r="D9" s="88">
        <v>157.19</v>
      </c>
      <c r="E9" s="100">
        <f t="shared" si="5"/>
        <v>188.62799999999999</v>
      </c>
      <c r="F9" s="103">
        <f t="shared" si="0"/>
        <v>681.91800000000001</v>
      </c>
      <c r="G9" s="104">
        <f t="shared" si="6"/>
        <v>8183.0159999999996</v>
      </c>
      <c r="H9" s="116">
        <f t="shared" si="2"/>
        <v>23867.13</v>
      </c>
      <c r="I9" s="116">
        <f t="shared" si="3"/>
        <v>286405.56</v>
      </c>
    </row>
    <row r="10" spans="1:11" s="101" customFormat="1" x14ac:dyDescent="0.35">
      <c r="A10" s="112" t="s">
        <v>77</v>
      </c>
      <c r="B10" s="102">
        <v>38</v>
      </c>
      <c r="C10" s="88">
        <v>454.35</v>
      </c>
      <c r="D10" s="88">
        <v>145.84</v>
      </c>
      <c r="E10" s="100">
        <f t="shared" si="5"/>
        <v>175.00800000000001</v>
      </c>
      <c r="F10" s="103">
        <f t="shared" si="0"/>
        <v>629.35800000000006</v>
      </c>
      <c r="G10" s="104">
        <f t="shared" si="6"/>
        <v>7552.2960000000003</v>
      </c>
      <c r="H10" s="116">
        <f t="shared" si="2"/>
        <v>23915.604000000003</v>
      </c>
      <c r="I10" s="116">
        <f t="shared" si="3"/>
        <v>286987.24800000002</v>
      </c>
      <c r="K10" s="118"/>
    </row>
    <row r="11" spans="1:11" s="101" customFormat="1" x14ac:dyDescent="0.35">
      <c r="A11" s="112" t="s">
        <v>78</v>
      </c>
      <c r="B11" s="102">
        <v>40</v>
      </c>
      <c r="C11" s="88">
        <v>431.63</v>
      </c>
      <c r="D11" s="88">
        <v>141.21</v>
      </c>
      <c r="E11" s="100">
        <f t="shared" si="5"/>
        <v>169.452</v>
      </c>
      <c r="F11" s="103">
        <f t="shared" si="0"/>
        <v>601.08199999999999</v>
      </c>
      <c r="G11" s="104">
        <f t="shared" si="6"/>
        <v>7212.9840000000004</v>
      </c>
      <c r="H11" s="116">
        <f t="shared" si="2"/>
        <v>24043.279999999999</v>
      </c>
      <c r="I11" s="116">
        <f t="shared" si="3"/>
        <v>288519.36</v>
      </c>
      <c r="K11" s="118"/>
    </row>
    <row r="12" spans="1:11" s="101" customFormat="1" x14ac:dyDescent="0.35">
      <c r="A12" s="112" t="s">
        <v>79</v>
      </c>
      <c r="B12" s="102">
        <v>45</v>
      </c>
      <c r="C12" s="88">
        <v>383.67</v>
      </c>
      <c r="D12" s="88">
        <v>146.09</v>
      </c>
      <c r="E12" s="100">
        <f t="shared" si="5"/>
        <v>175.30799999999999</v>
      </c>
      <c r="F12" s="103">
        <f t="shared" si="0"/>
        <v>558.97800000000007</v>
      </c>
      <c r="G12" s="104">
        <f t="shared" si="6"/>
        <v>6707.7360000000008</v>
      </c>
      <c r="H12" s="116">
        <f t="shared" si="2"/>
        <v>25154.010000000002</v>
      </c>
      <c r="I12" s="116">
        <f t="shared" si="3"/>
        <v>301848.12000000005</v>
      </c>
      <c r="K12" s="118"/>
    </row>
    <row r="13" spans="1:11" s="101" customFormat="1" x14ac:dyDescent="0.35">
      <c r="A13" s="112" t="s">
        <v>80</v>
      </c>
      <c r="B13" s="102">
        <v>50</v>
      </c>
      <c r="C13" s="88">
        <v>345.3</v>
      </c>
      <c r="D13" s="88">
        <v>143.66</v>
      </c>
      <c r="E13" s="100">
        <f t="shared" si="5"/>
        <v>172.392</v>
      </c>
      <c r="F13" s="103">
        <f t="shared" si="0"/>
        <v>517.69200000000001</v>
      </c>
      <c r="G13" s="104">
        <f t="shared" si="6"/>
        <v>6212.3040000000001</v>
      </c>
      <c r="H13" s="116">
        <f t="shared" si="2"/>
        <v>25884.6</v>
      </c>
      <c r="I13" s="116">
        <f t="shared" si="3"/>
        <v>310615.2</v>
      </c>
      <c r="K13" s="118"/>
    </row>
    <row r="16" spans="1:11" x14ac:dyDescent="0.35">
      <c r="A16" s="119" t="s">
        <v>84</v>
      </c>
    </row>
  </sheetData>
  <pageMargins left="0.7" right="0.7" top="0.75" bottom="0.75" header="0.51180555555555496" footer="0.51180555555555496"/>
  <pageSetup paperSize="9" orientation="portrait" horizontalDpi="300" verticalDpi="300" r:id="rId1"/>
  <ignoredErrors>
    <ignoredError sqref="A5" twoDigitTextYea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zoomScaleNormal="100" workbookViewId="0">
      <selection activeCell="A17" sqref="A17"/>
    </sheetView>
  </sheetViews>
  <sheetFormatPr defaultColWidth="11.54296875" defaultRowHeight="14.5" x14ac:dyDescent="0.35"/>
  <cols>
    <col min="1" max="1" width="8" style="89" customWidth="1"/>
    <col min="2" max="2" width="6.6328125" style="89" customWidth="1"/>
    <col min="3" max="3" width="7.6328125" style="89" bestFit="1" customWidth="1"/>
    <col min="4" max="4" width="7.08984375" style="89" bestFit="1" customWidth="1"/>
    <col min="5" max="7" width="7.6328125" style="89" bestFit="1" customWidth="1"/>
    <col min="8" max="8" width="6.81640625" style="89" bestFit="1" customWidth="1"/>
    <col min="9" max="9" width="7.26953125" style="89" bestFit="1" customWidth="1"/>
    <col min="10" max="10" width="7.90625" style="89" bestFit="1" customWidth="1"/>
    <col min="11" max="11" width="7.7265625" style="89" bestFit="1" customWidth="1"/>
    <col min="12" max="12" width="7" style="89" bestFit="1" customWidth="1"/>
    <col min="13" max="13" width="7.26953125" style="89" bestFit="1" customWidth="1"/>
    <col min="14" max="14" width="7.90625" style="89" bestFit="1" customWidth="1"/>
    <col min="15" max="15" width="7.7265625" style="89" bestFit="1" customWidth="1"/>
    <col min="16" max="16" width="7" style="89" bestFit="1" customWidth="1"/>
    <col min="17" max="17" width="7.26953125" style="89" bestFit="1" customWidth="1"/>
    <col min="18" max="18" width="7.90625" style="89" bestFit="1" customWidth="1"/>
    <col min="19" max="19" width="7.7265625" style="89" bestFit="1" customWidth="1"/>
    <col min="20" max="20" width="7" style="89" bestFit="1" customWidth="1"/>
  </cols>
  <sheetData>
    <row r="1" spans="1:20" x14ac:dyDescent="0.35">
      <c r="A1" s="95"/>
      <c r="B1" s="95"/>
      <c r="C1" s="95"/>
      <c r="D1" s="95"/>
      <c r="E1" s="95"/>
      <c r="F1" s="95"/>
      <c r="G1" s="95"/>
      <c r="H1" s="95"/>
      <c r="I1" s="131" t="s">
        <v>38</v>
      </c>
      <c r="J1" s="131"/>
      <c r="K1" s="131"/>
      <c r="L1" s="131"/>
      <c r="M1" s="131" t="s">
        <v>41</v>
      </c>
      <c r="N1" s="131"/>
      <c r="O1" s="131"/>
      <c r="P1" s="131"/>
      <c r="Q1" s="131" t="s">
        <v>29</v>
      </c>
      <c r="R1" s="131"/>
      <c r="S1" s="131"/>
      <c r="T1" s="131"/>
    </row>
    <row r="2" spans="1:20" ht="43.5" x14ac:dyDescent="0.35">
      <c r="A2" s="95" t="s">
        <v>58</v>
      </c>
      <c r="B2" s="95" t="s">
        <v>59</v>
      </c>
      <c r="C2" s="95" t="s">
        <v>60</v>
      </c>
      <c r="D2" s="95" t="s">
        <v>61</v>
      </c>
      <c r="E2" s="95" t="s">
        <v>62</v>
      </c>
      <c r="F2" s="95" t="s">
        <v>63</v>
      </c>
      <c r="G2" s="95" t="s">
        <v>64</v>
      </c>
      <c r="H2" s="95" t="s">
        <v>65</v>
      </c>
      <c r="I2" s="96" t="s">
        <v>66</v>
      </c>
      <c r="J2" s="95" t="s">
        <v>67</v>
      </c>
      <c r="K2" s="95" t="s">
        <v>68</v>
      </c>
      <c r="L2" s="97" t="s">
        <v>69</v>
      </c>
      <c r="M2" s="96" t="s">
        <v>66</v>
      </c>
      <c r="N2" s="95" t="s">
        <v>67</v>
      </c>
      <c r="O2" s="95" t="s">
        <v>68</v>
      </c>
      <c r="P2" s="97" t="s">
        <v>69</v>
      </c>
      <c r="Q2" s="96" t="s">
        <v>66</v>
      </c>
      <c r="R2" s="95" t="s">
        <v>67</v>
      </c>
      <c r="S2" s="95" t="s">
        <v>68</v>
      </c>
      <c r="T2" s="97" t="s">
        <v>69</v>
      </c>
    </row>
    <row r="3" spans="1:20" x14ac:dyDescent="0.35">
      <c r="A3" s="89">
        <v>1</v>
      </c>
      <c r="B3" s="89">
        <v>5</v>
      </c>
      <c r="C3" s="89">
        <v>4</v>
      </c>
      <c r="D3" s="89">
        <v>5</v>
      </c>
      <c r="E3" s="89">
        <v>7</v>
      </c>
      <c r="F3" s="89">
        <v>4</v>
      </c>
      <c r="G3" s="89">
        <v>14</v>
      </c>
      <c r="H3" s="89">
        <v>1</v>
      </c>
      <c r="I3" s="92">
        <v>1.5</v>
      </c>
      <c r="J3" s="93">
        <v>3</v>
      </c>
      <c r="K3" s="93">
        <v>10</v>
      </c>
      <c r="L3" s="94">
        <v>20</v>
      </c>
      <c r="M3" s="92">
        <v>2.5</v>
      </c>
      <c r="N3" s="93">
        <v>4</v>
      </c>
      <c r="O3" s="93">
        <v>10</v>
      </c>
      <c r="P3" s="94">
        <v>30</v>
      </c>
      <c r="Q3" s="92">
        <v>1</v>
      </c>
      <c r="R3" s="93">
        <v>2</v>
      </c>
      <c r="S3" s="93">
        <v>10</v>
      </c>
      <c r="T3" s="94">
        <v>15</v>
      </c>
    </row>
    <row r="4" spans="1:20" x14ac:dyDescent="0.35">
      <c r="A4" s="89">
        <v>10</v>
      </c>
      <c r="B4" s="89">
        <v>5</v>
      </c>
      <c r="C4" s="89">
        <v>4</v>
      </c>
      <c r="D4" s="89">
        <v>5</v>
      </c>
      <c r="E4" s="89">
        <v>7</v>
      </c>
      <c r="F4" s="89">
        <v>4</v>
      </c>
      <c r="G4" s="89">
        <v>14</v>
      </c>
      <c r="H4" s="89">
        <v>1</v>
      </c>
      <c r="I4" s="92">
        <v>1.5</v>
      </c>
      <c r="J4" s="93">
        <v>3</v>
      </c>
      <c r="K4" s="93">
        <v>10</v>
      </c>
      <c r="L4" s="94">
        <v>20</v>
      </c>
      <c r="M4" s="92">
        <v>2.5</v>
      </c>
      <c r="N4" s="93">
        <v>4</v>
      </c>
      <c r="O4" s="93">
        <v>10</v>
      </c>
      <c r="P4" s="94">
        <v>30</v>
      </c>
      <c r="Q4" s="92">
        <v>1</v>
      </c>
      <c r="R4" s="93">
        <v>2</v>
      </c>
      <c r="S4" s="93">
        <v>10</v>
      </c>
      <c r="T4" s="94">
        <v>15</v>
      </c>
    </row>
    <row r="5" spans="1:20" x14ac:dyDescent="0.35">
      <c r="A5" s="89">
        <v>15</v>
      </c>
      <c r="B5" s="89">
        <v>5</v>
      </c>
      <c r="C5" s="89">
        <v>4</v>
      </c>
      <c r="D5" s="89">
        <v>5</v>
      </c>
      <c r="E5" s="89">
        <v>7</v>
      </c>
      <c r="F5" s="89">
        <v>4</v>
      </c>
      <c r="G5" s="89">
        <v>14</v>
      </c>
      <c r="H5" s="89">
        <v>1</v>
      </c>
      <c r="I5" s="92">
        <v>1.5</v>
      </c>
      <c r="J5" s="93">
        <v>3</v>
      </c>
      <c r="K5" s="93">
        <v>10</v>
      </c>
      <c r="L5" s="94">
        <v>20</v>
      </c>
      <c r="M5" s="92">
        <v>2.5</v>
      </c>
      <c r="N5" s="93">
        <v>4</v>
      </c>
      <c r="O5" s="93">
        <v>10</v>
      </c>
      <c r="P5" s="94">
        <v>30</v>
      </c>
      <c r="Q5" s="92">
        <v>1</v>
      </c>
      <c r="R5" s="93">
        <v>2</v>
      </c>
      <c r="S5" s="93">
        <v>10</v>
      </c>
      <c r="T5" s="94">
        <v>15</v>
      </c>
    </row>
    <row r="6" spans="1:20" x14ac:dyDescent="0.35">
      <c r="A6" s="89">
        <v>20</v>
      </c>
      <c r="B6" s="89">
        <v>5</v>
      </c>
      <c r="C6" s="89">
        <v>4</v>
      </c>
      <c r="D6" s="89">
        <v>5</v>
      </c>
      <c r="E6" s="89">
        <v>7</v>
      </c>
      <c r="F6" s="89">
        <v>4</v>
      </c>
      <c r="G6" s="89">
        <v>14</v>
      </c>
      <c r="H6" s="89">
        <v>1</v>
      </c>
      <c r="I6" s="92">
        <v>1.5</v>
      </c>
      <c r="J6" s="93">
        <v>3</v>
      </c>
      <c r="K6" s="93">
        <v>10</v>
      </c>
      <c r="L6" s="94">
        <v>20</v>
      </c>
      <c r="M6" s="92">
        <v>2.5</v>
      </c>
      <c r="N6" s="93">
        <v>4</v>
      </c>
      <c r="O6" s="93">
        <v>10</v>
      </c>
      <c r="P6" s="94">
        <v>30</v>
      </c>
      <c r="Q6" s="92">
        <v>1</v>
      </c>
      <c r="R6" s="93">
        <v>2</v>
      </c>
      <c r="S6" s="93">
        <v>10</v>
      </c>
      <c r="T6" s="94">
        <v>15</v>
      </c>
    </row>
    <row r="7" spans="1:20" x14ac:dyDescent="0.35">
      <c r="A7" s="89">
        <v>25</v>
      </c>
      <c r="B7" s="89">
        <v>5</v>
      </c>
      <c r="C7" s="89">
        <v>4</v>
      </c>
      <c r="D7" s="89">
        <v>5</v>
      </c>
      <c r="E7" s="89">
        <v>7</v>
      </c>
      <c r="F7" s="89">
        <v>4</v>
      </c>
      <c r="G7" s="89">
        <v>14</v>
      </c>
      <c r="H7" s="89">
        <f t="shared" ref="H7:H13" si="0">A7/25</f>
        <v>1</v>
      </c>
      <c r="I7" s="92">
        <v>1.5</v>
      </c>
      <c r="J7" s="93">
        <v>3</v>
      </c>
      <c r="K7" s="93">
        <v>10</v>
      </c>
      <c r="L7" s="94">
        <v>20</v>
      </c>
      <c r="M7" s="92">
        <v>2.5</v>
      </c>
      <c r="N7" s="93">
        <v>4</v>
      </c>
      <c r="O7" s="93">
        <v>10</v>
      </c>
      <c r="P7" s="94">
        <v>30</v>
      </c>
      <c r="Q7" s="92">
        <v>1</v>
      </c>
      <c r="R7" s="93">
        <v>2</v>
      </c>
      <c r="S7" s="93">
        <v>10</v>
      </c>
      <c r="T7" s="94">
        <v>15</v>
      </c>
    </row>
    <row r="8" spans="1:20" x14ac:dyDescent="0.35">
      <c r="A8" s="89">
        <v>30</v>
      </c>
      <c r="B8" s="89">
        <v>6</v>
      </c>
      <c r="C8" s="89">
        <v>5</v>
      </c>
      <c r="D8" s="89">
        <v>7</v>
      </c>
      <c r="E8" s="89">
        <v>10</v>
      </c>
      <c r="F8" s="89">
        <v>4</v>
      </c>
      <c r="G8" s="89">
        <v>14</v>
      </c>
      <c r="H8" s="89">
        <f t="shared" si="0"/>
        <v>1.2</v>
      </c>
      <c r="I8" s="92">
        <v>1.5</v>
      </c>
      <c r="J8" s="93">
        <v>3</v>
      </c>
      <c r="K8" s="93">
        <v>10</v>
      </c>
      <c r="L8" s="94">
        <v>20</v>
      </c>
      <c r="M8" s="92">
        <v>2.5</v>
      </c>
      <c r="N8" s="93">
        <v>4</v>
      </c>
      <c r="O8" s="93">
        <v>10</v>
      </c>
      <c r="P8" s="94">
        <v>30</v>
      </c>
      <c r="Q8" s="92">
        <v>1</v>
      </c>
      <c r="R8" s="93">
        <v>2</v>
      </c>
      <c r="S8" s="93">
        <v>10</v>
      </c>
      <c r="T8" s="94">
        <v>15</v>
      </c>
    </row>
    <row r="9" spans="1:20" x14ac:dyDescent="0.35">
      <c r="A9" s="89">
        <v>35</v>
      </c>
      <c r="B9" s="89">
        <v>7</v>
      </c>
      <c r="C9" s="89">
        <v>6</v>
      </c>
      <c r="D9" s="89">
        <v>8</v>
      </c>
      <c r="E9" s="89">
        <v>11</v>
      </c>
      <c r="F9" s="89">
        <v>8</v>
      </c>
      <c r="G9" s="89">
        <v>16</v>
      </c>
      <c r="H9" s="89">
        <f t="shared" si="0"/>
        <v>1.4</v>
      </c>
      <c r="I9" s="92">
        <v>1.5</v>
      </c>
      <c r="J9" s="93">
        <v>3</v>
      </c>
      <c r="K9" s="93">
        <v>10</v>
      </c>
      <c r="L9" s="94">
        <v>20</v>
      </c>
      <c r="M9" s="92">
        <v>2.5</v>
      </c>
      <c r="N9" s="93">
        <v>4</v>
      </c>
      <c r="O9" s="93">
        <v>10</v>
      </c>
      <c r="P9" s="94">
        <v>30</v>
      </c>
      <c r="Q9" s="92">
        <v>1</v>
      </c>
      <c r="R9" s="93">
        <v>2</v>
      </c>
      <c r="S9" s="93">
        <v>10</v>
      </c>
      <c r="T9" s="94">
        <v>15</v>
      </c>
    </row>
    <row r="10" spans="1:20" x14ac:dyDescent="0.35">
      <c r="A10" s="89">
        <v>38</v>
      </c>
      <c r="B10" s="89">
        <v>7</v>
      </c>
      <c r="C10" s="89">
        <v>6</v>
      </c>
      <c r="D10" s="89">
        <v>8</v>
      </c>
      <c r="E10" s="89">
        <v>12</v>
      </c>
      <c r="F10" s="89">
        <v>8</v>
      </c>
      <c r="G10" s="89">
        <v>16</v>
      </c>
      <c r="H10" s="89">
        <f t="shared" si="0"/>
        <v>1.52</v>
      </c>
      <c r="I10" s="92">
        <v>1.5</v>
      </c>
      <c r="J10" s="93">
        <v>3</v>
      </c>
      <c r="K10" s="93">
        <v>10</v>
      </c>
      <c r="L10" s="94">
        <v>20</v>
      </c>
      <c r="M10" s="92">
        <v>2.5</v>
      </c>
      <c r="N10" s="93">
        <v>4</v>
      </c>
      <c r="O10" s="93">
        <v>10</v>
      </c>
      <c r="P10" s="94">
        <v>30</v>
      </c>
      <c r="Q10" s="92">
        <v>1</v>
      </c>
      <c r="R10" s="93">
        <v>2</v>
      </c>
      <c r="S10" s="93">
        <v>10</v>
      </c>
      <c r="T10" s="94">
        <v>15</v>
      </c>
    </row>
    <row r="11" spans="1:20" x14ac:dyDescent="0.35">
      <c r="A11" s="89">
        <v>40</v>
      </c>
      <c r="B11" s="89">
        <v>7</v>
      </c>
      <c r="C11" s="89">
        <v>6</v>
      </c>
      <c r="D11" s="89">
        <v>8</v>
      </c>
      <c r="E11" s="89">
        <v>13</v>
      </c>
      <c r="F11" s="89">
        <v>8</v>
      </c>
      <c r="G11" s="89">
        <v>16</v>
      </c>
      <c r="H11" s="89">
        <f t="shared" si="0"/>
        <v>1.6</v>
      </c>
      <c r="I11" s="92">
        <v>1.5</v>
      </c>
      <c r="J11" s="93">
        <v>3</v>
      </c>
      <c r="K11" s="93">
        <v>10</v>
      </c>
      <c r="L11" s="94">
        <v>20</v>
      </c>
      <c r="M11" s="92">
        <v>2.5</v>
      </c>
      <c r="N11" s="93">
        <v>4</v>
      </c>
      <c r="O11" s="93">
        <v>10</v>
      </c>
      <c r="P11" s="94">
        <v>30</v>
      </c>
      <c r="Q11" s="92">
        <v>1</v>
      </c>
      <c r="R11" s="93">
        <v>2</v>
      </c>
      <c r="S11" s="93">
        <v>10</v>
      </c>
      <c r="T11" s="94">
        <v>15</v>
      </c>
    </row>
    <row r="12" spans="1:20" x14ac:dyDescent="0.35">
      <c r="A12" s="89">
        <v>45</v>
      </c>
      <c r="B12" s="89">
        <v>8</v>
      </c>
      <c r="C12" s="89">
        <v>7</v>
      </c>
      <c r="D12" s="89">
        <v>10</v>
      </c>
      <c r="E12" s="89">
        <v>15</v>
      </c>
      <c r="F12" s="89">
        <v>8</v>
      </c>
      <c r="G12" s="89">
        <v>16</v>
      </c>
      <c r="H12" s="89">
        <f t="shared" si="0"/>
        <v>1.8</v>
      </c>
      <c r="I12" s="92">
        <v>1.5</v>
      </c>
      <c r="J12" s="93">
        <v>3</v>
      </c>
      <c r="K12" s="93">
        <v>10</v>
      </c>
      <c r="L12" s="94">
        <v>20</v>
      </c>
      <c r="M12" s="92">
        <v>2.5</v>
      </c>
      <c r="N12" s="93">
        <v>4</v>
      </c>
      <c r="O12" s="93">
        <v>10</v>
      </c>
      <c r="P12" s="94">
        <v>30</v>
      </c>
      <c r="Q12" s="92">
        <v>1</v>
      </c>
      <c r="R12" s="93">
        <v>2</v>
      </c>
      <c r="S12" s="93">
        <v>10</v>
      </c>
      <c r="T12" s="94">
        <v>15</v>
      </c>
    </row>
    <row r="13" spans="1:20" x14ac:dyDescent="0.35">
      <c r="A13" s="89">
        <v>50</v>
      </c>
      <c r="B13" s="89">
        <v>9</v>
      </c>
      <c r="C13" s="89">
        <v>8</v>
      </c>
      <c r="D13" s="89">
        <v>11</v>
      </c>
      <c r="E13" s="89">
        <v>17</v>
      </c>
      <c r="F13" s="89">
        <v>8</v>
      </c>
      <c r="G13" s="89">
        <v>16</v>
      </c>
      <c r="H13" s="89">
        <f t="shared" si="0"/>
        <v>2</v>
      </c>
      <c r="I13" s="90">
        <v>1.5</v>
      </c>
      <c r="J13" s="89">
        <v>3</v>
      </c>
      <c r="K13" s="89">
        <v>10</v>
      </c>
      <c r="L13" s="91">
        <v>20</v>
      </c>
      <c r="M13" s="90">
        <v>2.5</v>
      </c>
      <c r="N13" s="89">
        <v>4</v>
      </c>
      <c r="O13" s="89">
        <v>10</v>
      </c>
      <c r="P13" s="91">
        <v>30</v>
      </c>
      <c r="Q13" s="90">
        <v>1</v>
      </c>
      <c r="R13" s="89">
        <v>2</v>
      </c>
      <c r="S13" s="89">
        <v>10</v>
      </c>
      <c r="T13" s="91">
        <v>15</v>
      </c>
    </row>
  </sheetData>
  <mergeCells count="3">
    <mergeCell ref="I1:L1"/>
    <mergeCell ref="M1:P1"/>
    <mergeCell ref="Q1:T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Hinnastuse kalkulaator</vt:lpstr>
      <vt:lpstr>Hinnastuse koondtabel</vt:lpstr>
      <vt:lpstr>Seadistused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Janar Nagel</dc:creator>
  <dc:description/>
  <cp:lastModifiedBy>Merje Pihlak</cp:lastModifiedBy>
  <cp:revision>36</cp:revision>
  <dcterms:created xsi:type="dcterms:W3CDTF">2020-08-11T05:20:07Z</dcterms:created>
  <dcterms:modified xsi:type="dcterms:W3CDTF">2021-09-23T20:31:48Z</dcterms:modified>
  <dc:language>en-US</dc:language>
</cp:coreProperties>
</file>